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Računovodstvo\Desktop\FINANCIJSKI IZVJEŠTAJ\FINANCIJSKI IZVJEŠTAJ 03-2024\"/>
    </mc:Choice>
  </mc:AlternateContent>
  <xr:revisionPtr revIDLastSave="0" documentId="13_ncr:1_{2F93EA17-CC70-4B9B-AAF0-E8516788141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H291" i="9"/>
  <c r="G291" i="9"/>
  <c r="F291" i="9"/>
  <c r="E291" i="9"/>
  <c r="B291" i="9"/>
  <c r="F290" i="9"/>
  <c r="F289" i="9"/>
  <c r="H288" i="9"/>
  <c r="G288" i="9"/>
  <c r="F288" i="9"/>
  <c r="E288" i="9"/>
  <c r="B288" i="9"/>
  <c r="H287" i="9"/>
  <c r="G287" i="9"/>
  <c r="F287" i="9"/>
  <c r="E287" i="9"/>
  <c r="B287" i="9"/>
  <c r="H286" i="9"/>
  <c r="G286" i="9"/>
  <c r="F286" i="9"/>
  <c r="E286" i="9"/>
  <c r="B286" i="9"/>
  <c r="H285" i="9"/>
  <c r="G285" i="9"/>
  <c r="F285" i="9"/>
  <c r="E285" i="9"/>
  <c r="B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4" i="9"/>
  <c r="E284" i="9" s="1"/>
  <c r="B284" i="9" s="1"/>
  <c r="G278" i="9"/>
  <c r="E278"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0" i="9" l="1"/>
  <c r="G313" i="9"/>
  <c r="E313" i="9" s="1"/>
  <c r="B313" i="9" s="1"/>
  <c r="I34" i="3"/>
  <c r="C1517" i="1"/>
  <c r="G312" i="9"/>
  <c r="E312" i="9" s="1"/>
  <c r="F141" i="6"/>
  <c r="H28" i="3"/>
  <c r="C1435" i="1"/>
  <c r="G317" i="9"/>
  <c r="E317"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7" i="9"/>
  <c r="E316" i="9"/>
  <c r="H1435" i="1"/>
  <c r="G1435" i="1"/>
  <c r="H9" i="3"/>
  <c r="B312" i="9"/>
  <c r="E311"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20" i="9"/>
  <c r="F3" i="9" s="1"/>
  <c r="B274" i="9"/>
  <c r="E20" i="9"/>
  <c r="I7" i="3"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<sst xmlns="http://schemas.openxmlformats.org/spreadsheetml/2006/main" count="4360" uniqueCount="3421">
  <si>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</si>
  <si>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</si>
  <si>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</si>
  <si>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</si>
  <si>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</si>
  <si>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</si>
  <si>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</si>
  <si>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</si>
  <si>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</si>
  <si>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</si>
  <si>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</si>
  <si>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</si>
  <si>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</si>
  <si>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</si>
  <si>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</si>
  <si>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</si>
  <si>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</si>
  <si>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</si>
  <si>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</si>
  <si>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</si>
  <si>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</si>
  <si>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</si>
  <si>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</si>
  <si>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</si>
  <si>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</si>
  <si>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</si>
  <si>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</si>
  <si>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</si>
  <si>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</si>
  <si>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</si>
  <si>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</si>
  <si>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DRAGANIĆI</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</si>
  <si>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</si>
  <si>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</si>
  <si>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</si>
  <si>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</si>
  <si>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</si>
  <si>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</si>
  <si>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</si>
  <si>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</si>
  <si>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</si>
  <si>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</si>
  <si>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</si>
  <si>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</si>
  <si>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</si>
  <si>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</si>
  <si>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</si>
  <si>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</si>
  <si>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</si>
  <si>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8883 - OSNOVNA ŠKOLA  DRAGANIĆI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</si>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</sst>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39" fillId="0" borderId="0" xfId="0" applyFont="1" applyProtection="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383464.13</v>
      </c>
      <c r="D2" s="6">
        <f>'PR-RAS'!E6</f>
        <v>639384.21</v>
      </c>
      <c r="E2" s="6">
        <v>0</v>
      </c>
      <c r="F2" s="6">
        <v>0</v>
      </c>
      <c r="G2" s="7">
        <f t="shared" ref="G2:G264" si="0">(B2/1000)*(C2*1+D2*2)</f>
        <v>1662.2325499999999</v>
      </c>
      <c r="H2" s="7">
        <f t="shared" ref="H2:H264" si="1">ABS(C2-ROUND(C2,0))+ABS(D2-ROUND(D2,0))</f>
        <v>0.33999999996740371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306360.26</v>
      </c>
      <c r="D46" s="1">
        <f>'PR-RAS'!E50</f>
        <v>552467.38</v>
      </c>
      <c r="E46" s="1">
        <v>0</v>
      </c>
      <c r="F46" s="1">
        <v>0</v>
      </c>
      <c r="G46" s="2">
        <f t="shared" si="0"/>
        <v>63508.275900000001</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306360.26</v>
      </c>
      <c r="D64" s="1">
        <f>'PR-RAS'!E68</f>
        <v>546467.38</v>
      </c>
      <c r="E64" s="1">
        <v>0</v>
      </c>
      <c r="F64" s="1">
        <v>0</v>
      </c>
      <c r="G64" s="2">
        <f t="shared" si="0"/>
        <v>88155.586259999996</v>
      </c>
      <c r="H64" s="2">
        <f t="shared" si="1"/>
        <v>0.64000000001396984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306360.26</v>
      </c>
      <c r="D65" s="1">
        <f>'PR-RAS'!E69</f>
        <v>546467.38</v>
      </c>
      <c r="E65" s="1">
        <v>0</v>
      </c>
      <c r="F65" s="1">
        <v>0</v>
      </c>
      <c r="G65" s="2">
        <f t="shared" si="0"/>
        <v>89554.881280000001</v>
      </c>
      <c r="H65" s="2">
        <f t="shared" si="1"/>
        <v>0.64000000001396984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6000</v>
      </c>
      <c r="E70" s="1">
        <v>0</v>
      </c>
      <c r="F70" s="1">
        <v>0</v>
      </c>
      <c r="G70" s="2">
        <f t="shared" si="0"/>
        <v>828.00000000000011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6000</v>
      </c>
      <c r="E71" s="1">
        <v>0</v>
      </c>
      <c r="F71" s="1">
        <v>0</v>
      </c>
      <c r="G71" s="2">
        <f t="shared" si="0"/>
        <v>840.00000000000011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10347.51</v>
      </c>
      <c r="D102" s="1">
        <f>'PR-RAS'!E106</f>
        <v>8405.1299999999992</v>
      </c>
      <c r="E102" s="1">
        <v>0</v>
      </c>
      <c r="F102" s="1">
        <v>0</v>
      </c>
      <c r="G102" s="2">
        <f t="shared" si="0"/>
        <v>2742.9347699999998</v>
      </c>
      <c r="H102" s="2">
        <f t="shared" si="1"/>
        <v>0.61999999999898137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10347.51</v>
      </c>
      <c r="D108" s="1">
        <f>'PR-RAS'!E112</f>
        <v>8405.1299999999992</v>
      </c>
      <c r="E108" s="1">
        <v>0</v>
      </c>
      <c r="F108" s="1">
        <v>0</v>
      </c>
      <c r="G108" s="2">
        <f t="shared" si="0"/>
        <v>2905.8813899999996</v>
      </c>
      <c r="H108" s="2">
        <f t="shared" si="1"/>
        <v>0.61999999999898137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10347.51</v>
      </c>
      <c r="D113" s="1">
        <f>'PR-RAS'!E117</f>
        <v>8405.1299999999992</v>
      </c>
      <c r="E113" s="1">
        <v>0</v>
      </c>
      <c r="F113" s="1">
        <v>0</v>
      </c>
      <c r="G113" s="2">
        <f t="shared" si="0"/>
        <v>3041.6702399999999</v>
      </c>
      <c r="H113" s="2">
        <f t="shared" si="1"/>
        <v>0.61999999999898137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4729.3</v>
      </c>
      <c r="D120" s="1">
        <f>'PR-RAS'!E124</f>
        <v>5762.52</v>
      </c>
      <c r="E120" s="1">
        <v>0</v>
      </c>
      <c r="F120" s="1">
        <v>0</v>
      </c>
      <c r="G120" s="2">
        <f t="shared" si="0"/>
        <v>1934.2664599999998</v>
      </c>
      <c r="H120" s="2">
        <f t="shared" si="1"/>
        <v>0.77999999999974534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4729.3</v>
      </c>
      <c r="D121" s="1">
        <f>'PR-RAS'!E125</f>
        <v>5762.52</v>
      </c>
      <c r="E121" s="1">
        <v>0</v>
      </c>
      <c r="F121" s="1">
        <v>0</v>
      </c>
      <c r="G121" s="2">
        <f t="shared" si="0"/>
        <v>1950.5208</v>
      </c>
      <c r="H121" s="2">
        <f t="shared" si="1"/>
        <v>0.77999999999974534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30.52</v>
      </c>
      <c r="D122" s="1">
        <f>'PR-RAS'!E126</f>
        <v>99.92</v>
      </c>
      <c r="E122" s="1">
        <v>0</v>
      </c>
      <c r="F122" s="1">
        <v>0</v>
      </c>
      <c r="G122" s="2">
        <f t="shared" si="0"/>
        <v>27.873560000000001</v>
      </c>
      <c r="H122" s="2">
        <f t="shared" si="1"/>
        <v>0.55999999999999872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4698.78</v>
      </c>
      <c r="D123" s="1">
        <f>'PR-RAS'!E127</f>
        <v>5662.6</v>
      </c>
      <c r="E123" s="1">
        <v>0</v>
      </c>
      <c r="F123" s="1">
        <v>0</v>
      </c>
      <c r="G123" s="2">
        <f t="shared" si="0"/>
        <v>1954.9255599999999</v>
      </c>
      <c r="H123" s="2">
        <f t="shared" si="1"/>
        <v>0.61999999999989086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62027.06</v>
      </c>
      <c r="D129" s="1">
        <f>'PR-RAS'!E133</f>
        <v>72749.179999999993</v>
      </c>
      <c r="E129" s="1">
        <v>0</v>
      </c>
      <c r="F129" s="1">
        <v>0</v>
      </c>
      <c r="G129" s="2">
        <f t="shared" si="0"/>
        <v>26563.25376</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62027.06</v>
      </c>
      <c r="D130" s="1">
        <f>'PR-RAS'!E134</f>
        <v>72749.179999999993</v>
      </c>
      <c r="E130" s="1">
        <v>0</v>
      </c>
      <c r="F130" s="1">
        <v>0</v>
      </c>
      <c r="G130" s="2">
        <f t="shared" si="0"/>
        <v>26770.779179999998</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62027.06</v>
      </c>
      <c r="D131" s="1">
        <f>'PR-RAS'!E135</f>
        <v>72446.179999999993</v>
      </c>
      <c r="E131" s="1">
        <v>0</v>
      </c>
      <c r="F131" s="1">
        <v>0</v>
      </c>
      <c r="G131" s="2">
        <f t="shared" si="0"/>
        <v>26899.524599999997</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303</v>
      </c>
      <c r="E132" s="1">
        <v>0</v>
      </c>
      <c r="F132" s="1">
        <v>0</v>
      </c>
      <c r="G132" s="2">
        <f t="shared" si="0"/>
        <v>79.38600000000001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371538.03</v>
      </c>
      <c r="D147" s="1">
        <f>'PR-RAS'!E151</f>
        <v>611811.02</v>
      </c>
      <c r="E147" s="1">
        <v>0</v>
      </c>
      <c r="F147" s="1">
        <v>0</v>
      </c>
      <c r="G147" s="2">
        <f t="shared" si="0"/>
        <v>232893.37021999998</v>
      </c>
      <c r="H147" s="2">
        <f t="shared" si="1"/>
        <v>5.0000000046566129E-2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284967</v>
      </c>
      <c r="D148" s="1">
        <f>'PR-RAS'!E152</f>
        <v>469539.29</v>
      </c>
      <c r="E148" s="1">
        <v>0</v>
      </c>
      <c r="F148" s="1">
        <v>0</v>
      </c>
      <c r="G148" s="2">
        <f t="shared" si="0"/>
        <v>179934.70026000001</v>
      </c>
      <c r="H148" s="2">
        <f t="shared" si="1"/>
        <v>0.28999999997904524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236507.41</v>
      </c>
      <c r="D149" s="1">
        <f>'PR-RAS'!E153</f>
        <v>391708.23</v>
      </c>
      <c r="E149" s="1">
        <v>0</v>
      </c>
      <c r="F149" s="1">
        <v>0</v>
      </c>
      <c r="G149" s="2">
        <f t="shared" si="0"/>
        <v>150948.73275999998</v>
      </c>
      <c r="H149" s="2">
        <f t="shared" si="1"/>
        <v>0.63999999998486601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236507.41</v>
      </c>
      <c r="D150" s="1">
        <f>'PR-RAS'!E154</f>
        <v>391708.23</v>
      </c>
      <c r="E150" s="1">
        <v>0</v>
      </c>
      <c r="F150" s="1">
        <v>0</v>
      </c>
      <c r="G150" s="2">
        <f t="shared" si="0"/>
        <v>151968.65662999998</v>
      </c>
      <c r="H150" s="2">
        <f t="shared" si="1"/>
        <v>0.63999999998486601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9400.99</v>
      </c>
      <c r="D154" s="1">
        <f>'PR-RAS'!E158</f>
        <v>15122.94</v>
      </c>
      <c r="E154" s="1">
        <v>0</v>
      </c>
      <c r="F154" s="1">
        <v>0</v>
      </c>
      <c r="G154" s="2">
        <f t="shared" si="0"/>
        <v>6065.9711100000004</v>
      </c>
      <c r="H154" s="2">
        <f t="shared" si="1"/>
        <v>6.9999999999708962E-2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39058.6</v>
      </c>
      <c r="D155" s="1">
        <f>'PR-RAS'!E159</f>
        <v>62708.12</v>
      </c>
      <c r="E155" s="1">
        <v>0</v>
      </c>
      <c r="F155" s="1">
        <v>0</v>
      </c>
      <c r="G155" s="2">
        <f t="shared" si="0"/>
        <v>25329.125359999998</v>
      </c>
      <c r="H155" s="2">
        <f t="shared" si="1"/>
        <v>0.52000000000407454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39058.6</v>
      </c>
      <c r="D157" s="1">
        <f>'PR-RAS'!E161</f>
        <v>62708.12</v>
      </c>
      <c r="E157" s="1">
        <v>0</v>
      </c>
      <c r="F157" s="1">
        <v>0</v>
      </c>
      <c r="G157" s="2">
        <f t="shared" si="0"/>
        <v>25658.07504</v>
      </c>
      <c r="H157" s="2">
        <f t="shared" si="1"/>
        <v>0.52000000000407454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85839.530000000013</v>
      </c>
      <c r="D159" s="1">
        <f>'PR-RAS'!E163</f>
        <v>141502.70000000001</v>
      </c>
      <c r="E159" s="1">
        <v>0</v>
      </c>
      <c r="F159" s="1">
        <v>0</v>
      </c>
      <c r="G159" s="2">
        <f t="shared" si="0"/>
        <v>58277.498940000012</v>
      </c>
      <c r="H159" s="2">
        <f t="shared" si="1"/>
        <v>0.76999999997497071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16705.579999999998</v>
      </c>
      <c r="D160" s="1">
        <f>'PR-RAS'!E164</f>
        <v>27562.52</v>
      </c>
      <c r="E160" s="1">
        <v>0</v>
      </c>
      <c r="F160" s="1">
        <v>0</v>
      </c>
      <c r="G160" s="2">
        <f t="shared" si="0"/>
        <v>11421.068579999999</v>
      </c>
      <c r="H160" s="2">
        <f t="shared" si="1"/>
        <v>0.90000000000145519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3107.82</v>
      </c>
      <c r="D161" s="1">
        <f>'PR-RAS'!E165</f>
        <v>11058.98</v>
      </c>
      <c r="E161" s="1">
        <v>0</v>
      </c>
      <c r="F161" s="1">
        <v>0</v>
      </c>
      <c r="G161" s="2">
        <f t="shared" si="0"/>
        <v>4036.1248000000001</v>
      </c>
      <c r="H161" s="2">
        <f t="shared" si="1"/>
        <v>0.20000000000027285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13012.4</v>
      </c>
      <c r="D162" s="1">
        <f>'PR-RAS'!E166</f>
        <v>15708.89</v>
      </c>
      <c r="E162" s="1">
        <v>0</v>
      </c>
      <c r="F162" s="1">
        <v>0</v>
      </c>
      <c r="G162" s="2">
        <f t="shared" si="0"/>
        <v>7153.2589800000005</v>
      </c>
      <c r="H162" s="2">
        <f t="shared" si="1"/>
        <v>0.51000000000021828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585.36</v>
      </c>
      <c r="D163" s="1">
        <f>'PR-RAS'!E167</f>
        <v>794.65</v>
      </c>
      <c r="E163" s="1">
        <v>0</v>
      </c>
      <c r="F163" s="1">
        <v>0</v>
      </c>
      <c r="G163" s="2">
        <f t="shared" si="0"/>
        <v>352.29491999999999</v>
      </c>
      <c r="H163" s="2">
        <f t="shared" si="1"/>
        <v>0.71000000000003638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36829.610000000008</v>
      </c>
      <c r="D165" s="1">
        <f>'PR-RAS'!E169</f>
        <v>61012.09</v>
      </c>
      <c r="E165" s="1">
        <v>0</v>
      </c>
      <c r="F165" s="1">
        <v>0</v>
      </c>
      <c r="G165" s="2">
        <f t="shared" si="0"/>
        <v>26052.021560000001</v>
      </c>
      <c r="H165" s="2">
        <f t="shared" si="1"/>
        <v>0.47999999998864951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3499.58</v>
      </c>
      <c r="D166" s="1">
        <f>'PR-RAS'!E170</f>
        <v>13514.5</v>
      </c>
      <c r="E166" s="1">
        <v>0</v>
      </c>
      <c r="F166" s="1">
        <v>0</v>
      </c>
      <c r="G166" s="2">
        <f t="shared" si="0"/>
        <v>5037.2157000000007</v>
      </c>
      <c r="H166" s="2">
        <f t="shared" si="1"/>
        <v>0.92000000000007276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20975.33</v>
      </c>
      <c r="D167" s="1">
        <f>'PR-RAS'!E171</f>
        <v>37532.36</v>
      </c>
      <c r="E167" s="1">
        <v>0</v>
      </c>
      <c r="F167" s="1">
        <v>0</v>
      </c>
      <c r="G167" s="2">
        <f t="shared" si="0"/>
        <v>15942.648300000001</v>
      </c>
      <c r="H167" s="2">
        <f t="shared" si="1"/>
        <v>0.69000000000232831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11014.16</v>
      </c>
      <c r="D168" s="1">
        <f>'PR-RAS'!E172</f>
        <v>7283.92</v>
      </c>
      <c r="E168" s="1">
        <v>0</v>
      </c>
      <c r="F168" s="1">
        <v>0</v>
      </c>
      <c r="G168" s="2">
        <f t="shared" si="0"/>
        <v>4272.1940000000004</v>
      </c>
      <c r="H168" s="2">
        <f t="shared" si="1"/>
        <v>0.23999999999978172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9.86</v>
      </c>
      <c r="D169" s="1">
        <f>'PR-RAS'!E173</f>
        <v>467.39</v>
      </c>
      <c r="E169" s="1">
        <v>0</v>
      </c>
      <c r="F169" s="1">
        <v>0</v>
      </c>
      <c r="G169" s="2">
        <f t="shared" si="0"/>
        <v>158.69952000000001</v>
      </c>
      <c r="H169" s="2">
        <f t="shared" si="1"/>
        <v>0.52999999999998693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1330.68</v>
      </c>
      <c r="D170" s="1">
        <f>'PR-RAS'!E174</f>
        <v>2213.92</v>
      </c>
      <c r="E170" s="1">
        <v>0</v>
      </c>
      <c r="F170" s="1">
        <v>0</v>
      </c>
      <c r="G170" s="2">
        <f t="shared" si="0"/>
        <v>973.18988000000013</v>
      </c>
      <c r="H170" s="2">
        <f t="shared" si="1"/>
        <v>0.39999999999986358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30533.510000000002</v>
      </c>
      <c r="D173" s="1">
        <f>'PR-RAS'!E177</f>
        <v>46055.770000000004</v>
      </c>
      <c r="E173" s="1">
        <v>0</v>
      </c>
      <c r="F173" s="1">
        <v>0</v>
      </c>
      <c r="G173" s="2">
        <f t="shared" si="0"/>
        <v>21094.9486</v>
      </c>
      <c r="H173" s="2">
        <f t="shared" si="1"/>
        <v>0.7199999999938882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20854.28</v>
      </c>
      <c r="D174" s="1">
        <f>'PR-RAS'!E178</f>
        <v>32580.65</v>
      </c>
      <c r="E174" s="1">
        <v>0</v>
      </c>
      <c r="F174" s="1">
        <v>0</v>
      </c>
      <c r="G174" s="2">
        <f t="shared" si="0"/>
        <v>14880.695339999998</v>
      </c>
      <c r="H174" s="2">
        <f t="shared" si="1"/>
        <v>0.62999999999738066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3033.5</v>
      </c>
      <c r="D175" s="1">
        <f>'PR-RAS'!E179</f>
        <v>4102.07</v>
      </c>
      <c r="E175" s="1">
        <v>0</v>
      </c>
      <c r="F175" s="1">
        <v>0</v>
      </c>
      <c r="G175" s="2">
        <f t="shared" si="0"/>
        <v>1955.3493599999997</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222.72</v>
      </c>
      <c r="D176" s="1">
        <f>'PR-RAS'!E180</f>
        <v>281.2</v>
      </c>
      <c r="E176" s="1">
        <v>0</v>
      </c>
      <c r="F176" s="1">
        <v>0</v>
      </c>
      <c r="G176" s="2">
        <f t="shared" si="0"/>
        <v>137.39599999999999</v>
      </c>
      <c r="H176" s="2">
        <f t="shared" si="1"/>
        <v>0.47999999999998977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929.84</v>
      </c>
      <c r="D177" s="1">
        <f>'PR-RAS'!E181</f>
        <v>1843.12</v>
      </c>
      <c r="E177" s="1">
        <v>0</v>
      </c>
      <c r="F177" s="1">
        <v>0</v>
      </c>
      <c r="G177" s="2">
        <f t="shared" si="0"/>
        <v>812.43007999999998</v>
      </c>
      <c r="H177" s="2">
        <f t="shared" si="1"/>
        <v>0.27999999999985903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1869.52</v>
      </c>
      <c r="D179" s="1">
        <f>'PR-RAS'!E183</f>
        <v>2310.62</v>
      </c>
      <c r="E179" s="1">
        <v>0</v>
      </c>
      <c r="F179" s="1">
        <v>0</v>
      </c>
      <c r="G179" s="2">
        <f t="shared" si="0"/>
        <v>1155.35528</v>
      </c>
      <c r="H179" s="2">
        <f t="shared" si="1"/>
        <v>0.86000000000012733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2434.29</v>
      </c>
      <c r="D180" s="1">
        <f>'PR-RAS'!E184</f>
        <v>3749.13</v>
      </c>
      <c r="E180" s="1">
        <v>0</v>
      </c>
      <c r="F180" s="1">
        <v>0</v>
      </c>
      <c r="G180" s="2">
        <f t="shared" si="0"/>
        <v>1777.9264499999997</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874.36</v>
      </c>
      <c r="D181" s="1">
        <f>'PR-RAS'!E185</f>
        <v>905.3</v>
      </c>
      <c r="E181" s="1">
        <v>0</v>
      </c>
      <c r="F181" s="1">
        <v>0</v>
      </c>
      <c r="G181" s="2">
        <f t="shared" si="0"/>
        <v>483.2928</v>
      </c>
      <c r="H181" s="2">
        <f t="shared" si="1"/>
        <v>0.65999999999996817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315</v>
      </c>
      <c r="D182" s="1">
        <f>'PR-RAS'!E186</f>
        <v>283.68</v>
      </c>
      <c r="E182" s="1">
        <v>0</v>
      </c>
      <c r="F182" s="1">
        <v>0</v>
      </c>
      <c r="G182" s="2">
        <f t="shared" si="0"/>
        <v>159.70715999999999</v>
      </c>
      <c r="H182" s="2">
        <f t="shared" si="1"/>
        <v>0.31999999999999318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1770.8300000000002</v>
      </c>
      <c r="D184" s="1">
        <f>'PR-RAS'!E188</f>
        <v>6872.3200000000006</v>
      </c>
      <c r="E184" s="1">
        <v>0</v>
      </c>
      <c r="F184" s="1">
        <v>0</v>
      </c>
      <c r="G184" s="2">
        <f t="shared" si="0"/>
        <v>2839.3310100000003</v>
      </c>
      <c r="H184" s="2">
        <f t="shared" si="1"/>
        <v>0.49000000000046384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551.08000000000004</v>
      </c>
      <c r="D185" s="1">
        <f>'PR-RAS'!E189</f>
        <v>0</v>
      </c>
      <c r="E185" s="1">
        <v>0</v>
      </c>
      <c r="F185" s="1">
        <v>0</v>
      </c>
      <c r="G185" s="2">
        <f t="shared" si="0"/>
        <v>101.39872000000001</v>
      </c>
      <c r="H185" s="2">
        <f t="shared" si="1"/>
        <v>8.0000000000040927E-2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839.14</v>
      </c>
      <c r="E187" s="1">
        <v>0</v>
      </c>
      <c r="F187" s="1">
        <v>0</v>
      </c>
      <c r="G187" s="2">
        <f t="shared" si="0"/>
        <v>312.16007999999999</v>
      </c>
      <c r="H187" s="2">
        <f t="shared" si="1"/>
        <v>0.13999999999998636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5293.09</v>
      </c>
      <c r="E188" s="1">
        <v>0</v>
      </c>
      <c r="F188" s="1">
        <v>0</v>
      </c>
      <c r="G188" s="2">
        <f t="shared" si="0"/>
        <v>2002.3099800000002</v>
      </c>
      <c r="H188" s="2">
        <f t="shared" si="1"/>
        <v>0.45000000000014495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923.96</v>
      </c>
      <c r="D189" s="1">
        <f>'PR-RAS'!E193</f>
        <v>394.84</v>
      </c>
      <c r="E189" s="1">
        <v>0</v>
      </c>
      <c r="F189" s="1">
        <v>0</v>
      </c>
      <c r="G189" s="2">
        <f t="shared" si="0"/>
        <v>322.16431999999998</v>
      </c>
      <c r="H189" s="2">
        <f t="shared" si="1"/>
        <v>0.19999999999998863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124.43</v>
      </c>
      <c r="D190" s="1">
        <f>'PR-RAS'!E195</f>
        <v>345.25</v>
      </c>
      <c r="E190" s="1">
        <v>0</v>
      </c>
      <c r="F190" s="1">
        <v>0</v>
      </c>
      <c r="G190" s="2">
        <f t="shared" si="0"/>
        <v>154.02177</v>
      </c>
      <c r="H190" s="2">
        <f t="shared" si="1"/>
        <v>0.68000000000000682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v>
      </c>
      <c r="D191" s="1" t="e">
        <f>'PR-RAS'!#REF!</f>
        <v>#REF!</v>
      </c>
      <c r="E191" s="1">
        <v>0</v>
      </c>
      <c r="F191" s="1">
        <v>0</v>
      </c>
      <c r="G191" s="2" t="e">
        <f t="shared" si="0"/>
        <v>#REF!</v>
      </c>
      <c r="H191" s="2" t="e">
        <f t="shared" si="1"/>
        <v>#REF!</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343.47999999999996</v>
      </c>
      <c r="D192" s="1">
        <f>'PR-RAS'!E196</f>
        <v>391.03</v>
      </c>
      <c r="E192" s="1">
        <v>0</v>
      </c>
      <c r="F192" s="1">
        <v>0</v>
      </c>
      <c r="G192" s="2">
        <f t="shared" si="0"/>
        <v>214.97814</v>
      </c>
      <c r="H192" s="2">
        <f t="shared" si="1"/>
        <v>0.50999999999993406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343.47999999999996</v>
      </c>
      <c r="D206" s="1">
        <f>'PR-RAS'!E210</f>
        <v>391.03</v>
      </c>
      <c r="E206" s="1">
        <v>0</v>
      </c>
      <c r="F206" s="1">
        <v>0</v>
      </c>
      <c r="G206" s="2">
        <f t="shared" si="0"/>
        <v>230.73569999999998</v>
      </c>
      <c r="H206" s="2">
        <f t="shared" si="1"/>
        <v>0.50999999999993406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306.45999999999998</v>
      </c>
      <c r="D207" s="1">
        <f>'PR-RAS'!E211</f>
        <v>391.03</v>
      </c>
      <c r="E207" s="1">
        <v>0</v>
      </c>
      <c r="F207" s="1">
        <v>0</v>
      </c>
      <c r="G207" s="2">
        <f t="shared" si="0"/>
        <v>224.23511999999999</v>
      </c>
      <c r="H207" s="2">
        <f t="shared" si="1"/>
        <v>0.48999999999995225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37.020000000000003</v>
      </c>
      <c r="D209" s="1">
        <f>'PR-RAS'!E213</f>
        <v>0</v>
      </c>
      <c r="E209" s="1">
        <v>0</v>
      </c>
      <c r="F209" s="1">
        <v>0</v>
      </c>
      <c r="G209" s="2">
        <f t="shared" si="0"/>
        <v>7.7001600000000003</v>
      </c>
      <c r="H209" s="2">
        <f t="shared" si="1"/>
        <v>2.0000000000003126E-2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388.02</v>
      </c>
      <c r="D259" s="1">
        <f>'PR-RAS'!E263</f>
        <v>378</v>
      </c>
      <c r="E259" s="1">
        <v>0</v>
      </c>
      <c r="F259" s="1">
        <v>0</v>
      </c>
      <c r="G259" s="2">
        <f t="shared" si="0"/>
        <v>295.15715999999998</v>
      </c>
      <c r="H259" s="2">
        <f t="shared" si="1"/>
        <v>1.999999999998181E-2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388.02</v>
      </c>
      <c r="D260" s="1">
        <f>'PR-RAS'!E264</f>
        <v>378</v>
      </c>
      <c r="E260" s="1">
        <v>0</v>
      </c>
      <c r="F260" s="1">
        <v>0</v>
      </c>
      <c r="G260" s="2">
        <f t="shared" si="0"/>
        <v>296.30117999999999</v>
      </c>
      <c r="H260" s="2">
        <f t="shared" si="1"/>
        <v>1.999999999998181E-2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388.02</v>
      </c>
      <c r="D262" s="1">
        <f>'PR-RAS'!E266</f>
        <v>378</v>
      </c>
      <c r="E262" s="1">
        <v>0</v>
      </c>
      <c r="F262" s="1">
        <v>0</v>
      </c>
      <c r="G262" s="2">
        <f t="shared" si="0"/>
        <v>298.58922000000001</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371538.03</v>
      </c>
      <c r="D285" s="1">
        <f>'PR-RAS'!E289</f>
        <v>611811.02</v>
      </c>
      <c r="E285" s="1">
        <v>0</v>
      </c>
      <c r="F285" s="1">
        <v>0</v>
      </c>
      <c r="G285" s="2">
        <f t="shared" si="8"/>
        <v>453025.45987999998</v>
      </c>
      <c r="H285" s="2">
        <f t="shared" si="9"/>
        <v>5.0000000046566129E-2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11926.099999999977</v>
      </c>
      <c r="D286" s="1">
        <f>'PR-RAS'!E290</f>
        <v>27573.189999999944</v>
      </c>
      <c r="E286" s="1">
        <v>0</v>
      </c>
      <c r="F286" s="1">
        <v>0</v>
      </c>
      <c r="G286" s="2">
        <f t="shared" si="8"/>
        <v>19115.656799999961</v>
      </c>
      <c r="H286" s="2">
        <f t="shared" si="9"/>
        <v>0.28999999992083758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5984.46</v>
      </c>
      <c r="D288" s="1">
        <f>'PR-RAS'!E292</f>
        <v>62128.11</v>
      </c>
      <c r="E288" s="1">
        <v>0</v>
      </c>
      <c r="F288" s="1">
        <v>0</v>
      </c>
      <c r="G288" s="2">
        <f t="shared" si="8"/>
        <v>37379.07516</v>
      </c>
      <c r="H288" s="2">
        <f t="shared" si="9"/>
        <v>0.57000000000061846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907.75</v>
      </c>
      <c r="D290" s="1">
        <f>'PR-RAS'!E294</f>
        <v>511.33</v>
      </c>
      <c r="E290" s="1">
        <v>0</v>
      </c>
      <c r="F290" s="1">
        <v>0</v>
      </c>
      <c r="G290" s="2">
        <f t="shared" si="8"/>
        <v>557.88848999999993</v>
      </c>
      <c r="H290" s="2">
        <f t="shared" si="9"/>
        <v>0.57999999999998408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1221.1099999999999</v>
      </c>
      <c r="D291" s="1">
        <f>'PR-RAS'!E295</f>
        <v>488.46</v>
      </c>
      <c r="E291" s="1">
        <v>0</v>
      </c>
      <c r="F291" s="1">
        <v>0</v>
      </c>
      <c r="G291" s="2">
        <f t="shared" si="8"/>
        <v>637.42869999999994</v>
      </c>
      <c r="H291" s="2">
        <f t="shared" si="9"/>
        <v>0.56999999999987949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1971.5</v>
      </c>
      <c r="D345" s="1">
        <f>'PR-RAS'!E350</f>
        <v>11369.09</v>
      </c>
      <c r="E345" s="1">
        <v>0</v>
      </c>
      <c r="F345" s="1">
        <v>0</v>
      </c>
      <c r="G345" s="2">
        <f t="shared" si="8"/>
        <v>8500.1299199999994</v>
      </c>
      <c r="H345" s="2">
        <f t="shared" si="9"/>
        <v>0.59000000000014552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1971.5</v>
      </c>
      <c r="D358" s="1">
        <f>'PR-RAS'!E363</f>
        <v>11369.09</v>
      </c>
      <c r="E358" s="1">
        <v>0</v>
      </c>
      <c r="F358" s="1">
        <v>0</v>
      </c>
      <c r="G358" s="2">
        <f t="shared" si="8"/>
        <v>8821.3557600000004</v>
      </c>
      <c r="H358" s="2">
        <f t="shared" si="9"/>
        <v>0.59000000000014552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1877.5</v>
      </c>
      <c r="D364" s="1">
        <f>'PR-RAS'!E369</f>
        <v>8355.67</v>
      </c>
      <c r="E364" s="1">
        <v>0</v>
      </c>
      <c r="F364" s="1">
        <v>0</v>
      </c>
      <c r="G364" s="2">
        <f t="shared" si="8"/>
        <v>6747.74892</v>
      </c>
      <c r="H364" s="2">
        <f t="shared" si="9"/>
        <v>0.82999999999992724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659.96</v>
      </c>
      <c r="E365" s="1">
        <v>0</v>
      </c>
      <c r="F365" s="1">
        <v>0</v>
      </c>
      <c r="G365" s="2">
        <f t="shared" si="8"/>
        <v>480.45088000000004</v>
      </c>
      <c r="H365" s="2">
        <f t="shared" si="9"/>
        <v>3.999999999996362E-2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6739.11</v>
      </c>
      <c r="E370" s="1">
        <v>0</v>
      </c>
      <c r="F370" s="1">
        <v>0</v>
      </c>
      <c r="G370" s="2">
        <f t="shared" si="8"/>
        <v>4973.4631799999997</v>
      </c>
      <c r="H370" s="2">
        <f t="shared" si="9"/>
        <v>0.10999999999967258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1877.5</v>
      </c>
      <c r="D371" s="1">
        <f>'PR-RAS'!E376</f>
        <v>956.6</v>
      </c>
      <c r="E371" s="1">
        <v>0</v>
      </c>
      <c r="F371" s="1">
        <v>0</v>
      </c>
      <c r="G371" s="2">
        <f t="shared" si="8"/>
        <v>1402.559</v>
      </c>
      <c r="H371" s="2">
        <f t="shared" si="9"/>
        <v>0.89999999999997726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94</v>
      </c>
      <c r="D378" s="1">
        <f>'PR-RAS'!E383</f>
        <v>3013.42</v>
      </c>
      <c r="E378" s="1">
        <v>0</v>
      </c>
      <c r="F378" s="1">
        <v>0</v>
      </c>
      <c r="G378" s="2">
        <f t="shared" si="8"/>
        <v>2307.5566800000001</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94</v>
      </c>
      <c r="D379" s="1">
        <f>'PR-RAS'!E384</f>
        <v>3013.42</v>
      </c>
      <c r="E379" s="1">
        <v>0</v>
      </c>
      <c r="F379" s="1">
        <v>0</v>
      </c>
      <c r="G379" s="2">
        <f t="shared" si="8"/>
        <v>2313.6775200000002</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1971.5</v>
      </c>
      <c r="D403" s="1">
        <f>'PR-RAS'!E408</f>
        <v>11369.09</v>
      </c>
      <c r="E403" s="1">
        <v>0</v>
      </c>
      <c r="F403" s="1">
        <v>0</v>
      </c>
      <c r="G403" s="2">
        <f t="shared" si="8"/>
        <v>9933.2913600000011</v>
      </c>
      <c r="H403" s="2">
        <f t="shared" si="9"/>
        <v>0.59000000000014552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5909.48</v>
      </c>
      <c r="D405" s="1">
        <f>'PR-RAS'!E410</f>
        <v>26804.26</v>
      </c>
      <c r="E405" s="1">
        <v>0</v>
      </c>
      <c r="F405" s="1">
        <v>0</v>
      </c>
      <c r="G405" s="2">
        <f t="shared" si="8"/>
        <v>24045.272000000001</v>
      </c>
      <c r="H405" s="2">
        <f t="shared" si="9"/>
        <v>0.73999999999796273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383464.13</v>
      </c>
      <c r="D407" s="1">
        <f>'PR-RAS'!E412</f>
        <v>639384.21</v>
      </c>
      <c r="E407" s="1">
        <v>0</v>
      </c>
      <c r="F407" s="1">
        <v>0</v>
      </c>
      <c r="G407" s="2">
        <f t="shared" si="8"/>
        <v>674866.41529999999</v>
      </c>
      <c r="H407" s="2">
        <f t="shared" si="9"/>
        <v>0.33999999996740371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373509.53</v>
      </c>
      <c r="D408" s="1">
        <f>'PR-RAS'!E413</f>
        <v>623180.11</v>
      </c>
      <c r="E408" s="1">
        <v>0</v>
      </c>
      <c r="F408" s="1">
        <v>0</v>
      </c>
      <c r="G408" s="2">
        <f t="shared" si="8"/>
        <v>659286.98824999994</v>
      </c>
      <c r="H408" s="2">
        <f t="shared" si="9"/>
        <v>0.57999999995809048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9954.5999999999767</v>
      </c>
      <c r="D409" s="1">
        <f>'PR-RAS'!E414</f>
        <v>16204.099999999977</v>
      </c>
      <c r="E409" s="1">
        <v>0</v>
      </c>
      <c r="F409" s="1">
        <v>0</v>
      </c>
      <c r="G409" s="2">
        <f t="shared" si="8"/>
        <v>17284.022399999969</v>
      </c>
      <c r="H409" s="2">
        <f t="shared" si="9"/>
        <v>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74.980000000000473</v>
      </c>
      <c r="D411" s="1">
        <f>'PR-RAS'!E416</f>
        <v>35323.850000000006</v>
      </c>
      <c r="E411" s="1">
        <v>0</v>
      </c>
      <c r="F411" s="1">
        <v>0</v>
      </c>
      <c r="G411" s="2">
        <f t="shared" si="8"/>
        <v>28996.2988</v>
      </c>
      <c r="H411" s="2">
        <f t="shared" si="9"/>
        <v>0.1699999999937063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907.75</v>
      </c>
      <c r="D413" s="1">
        <f>'PR-RAS'!E418</f>
        <v>511.33</v>
      </c>
      <c r="E413" s="1">
        <v>0</v>
      </c>
      <c r="F413" s="1">
        <v>0</v>
      </c>
      <c r="G413" s="2">
        <f t="shared" si="8"/>
        <v>795.32891999999993</v>
      </c>
      <c r="H413" s="2">
        <f t="shared" si="9"/>
        <v>0.57999999999998408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383464.13</v>
      </c>
      <c r="D633" s="1">
        <f>'PR-RAS'!E639</f>
        <v>639384.21</v>
      </c>
      <c r="E633" s="1">
        <v>0</v>
      </c>
      <c r="F633" s="1">
        <v>0</v>
      </c>
      <c r="G633" s="2">
        <f t="shared" si="10"/>
        <v>1050530.9715999998</v>
      </c>
      <c r="H633" s="2">
        <f t="shared" si="11"/>
        <v>0.33999999996740371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373509.53</v>
      </c>
      <c r="D634" s="1">
        <f>'PR-RAS'!E640</f>
        <v>623180.11</v>
      </c>
      <c r="E634" s="1">
        <v>0</v>
      </c>
      <c r="F634" s="1">
        <v>0</v>
      </c>
      <c r="G634" s="2">
        <f t="shared" si="10"/>
        <v>1025377.55175</v>
      </c>
      <c r="H634" s="2">
        <f t="shared" si="11"/>
        <v>0.57999999995809048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9954.5999999999767</v>
      </c>
      <c r="D635" s="1">
        <f>'PR-RAS'!E641</f>
        <v>16204.099999999977</v>
      </c>
      <c r="E635" s="1">
        <v>0</v>
      </c>
      <c r="F635" s="1">
        <v>0</v>
      </c>
      <c r="G635" s="2">
        <f t="shared" si="10"/>
        <v>26858.015199999954</v>
      </c>
      <c r="H635" s="2">
        <f t="shared" si="11"/>
        <v>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74.980000000000473</v>
      </c>
      <c r="D637" s="1">
        <f>'PR-RAS'!E643</f>
        <v>35323.850000000006</v>
      </c>
      <c r="E637" s="1">
        <v>0</v>
      </c>
      <c r="F637" s="1">
        <v>0</v>
      </c>
      <c r="G637" s="2">
        <f t="shared" si="10"/>
        <v>44979.624480000006</v>
      </c>
      <c r="H637" s="2">
        <f t="shared" si="11"/>
        <v>0.1699999999937063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10029.579999999976</v>
      </c>
      <c r="D639" s="1">
        <f>'PR-RAS'!E645</f>
        <v>51527.949999999983</v>
      </c>
      <c r="E639" s="1">
        <v>0</v>
      </c>
      <c r="F639" s="1">
        <v>0</v>
      </c>
      <c r="G639" s="2">
        <f t="shared" si="10"/>
        <v>72148.536239999958</v>
      </c>
      <c r="H639" s="2">
        <f t="shared" si="11"/>
        <v>0.47000000004118192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51760.74</v>
      </c>
      <c r="D641" s="1">
        <f>'PR-RAS'!E647</f>
        <v>82168.97</v>
      </c>
      <c r="E641" s="1">
        <v>0</v>
      </c>
      <c r="F641" s="1">
        <v>0</v>
      </c>
      <c r="G641" s="2">
        <f t="shared" si="10"/>
        <v>138303.15520000001</v>
      </c>
      <c r="H641" s="2">
        <f t="shared" si="11"/>
        <v>0.29000000000087311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4133.57</v>
      </c>
      <c r="D642" s="1">
        <f>'PR-RAS'!E649</f>
        <v>46016.7</v>
      </c>
      <c r="E642" s="1">
        <v>0</v>
      </c>
      <c r="F642" s="1">
        <v>0</v>
      </c>
      <c r="G642" s="2">
        <f t="shared" si="10"/>
        <v>61643.027770000001</v>
      </c>
      <c r="H642" s="2">
        <f t="shared" si="11"/>
        <v>0.73000000000320142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28476.83</v>
      </c>
      <c r="D643" s="1">
        <f>'PR-RAS'!E650</f>
        <v>79982.52</v>
      </c>
      <c r="E643" s="1">
        <v>0</v>
      </c>
      <c r="F643" s="1">
        <v>0</v>
      </c>
      <c r="G643" s="2">
        <f t="shared" si="10"/>
        <v>120979.68054</v>
      </c>
      <c r="H643" s="2">
        <f t="shared" si="11"/>
        <v>0.64999999999417923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23134.74</v>
      </c>
      <c r="D644" s="1">
        <f>'PR-RAS'!E651</f>
        <v>74161.929999999993</v>
      </c>
      <c r="E644" s="1">
        <v>0</v>
      </c>
      <c r="F644" s="1">
        <v>0</v>
      </c>
      <c r="G644" s="2">
        <f t="shared" si="10"/>
        <v>110247.87979999998</v>
      </c>
      <c r="H644" s="2">
        <f t="shared" si="11"/>
        <v>0.33000000000538421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9475.66</v>
      </c>
      <c r="D645" s="1">
        <f>'PR-RAS'!E652</f>
        <v>51837.290000000008</v>
      </c>
      <c r="E645" s="1">
        <v>0</v>
      </c>
      <c r="F645" s="1">
        <v>0</v>
      </c>
      <c r="G645" s="2">
        <f t="shared" si="10"/>
        <v>72868.754560000016</v>
      </c>
      <c r="H645" s="2">
        <f t="shared" si="11"/>
        <v>0.63000000000829459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39</v>
      </c>
      <c r="E647" s="1">
        <v>0</v>
      </c>
      <c r="F647" s="1">
        <v>0</v>
      </c>
      <c r="G647" s="2">
        <f t="shared" si="10"/>
        <v>76.228000000000009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31</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294898.65999999997</v>
      </c>
      <c r="D668" s="1">
        <f>'PR-RAS'!E675</f>
        <v>544029.81999999995</v>
      </c>
      <c r="E668" s="1">
        <v>0</v>
      </c>
      <c r="F668" s="1">
        <v>0</v>
      </c>
      <c r="G668" s="2">
        <f t="shared" si="10"/>
        <v>922433.18609999993</v>
      </c>
      <c r="H668" s="2">
        <f t="shared" si="11"/>
        <v>0.52000000007683411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11461.6</v>
      </c>
      <c r="D669" s="1">
        <f>'PR-RAS'!E676</f>
        <v>2437.56</v>
      </c>
      <c r="E669" s="1">
        <v>0</v>
      </c>
      <c r="F669" s="1">
        <v>0</v>
      </c>
      <c r="G669" s="2">
        <f t="shared" si="10"/>
        <v>10912.928960000001</v>
      </c>
      <c r="H669" s="2">
        <f t="shared" si="11"/>
        <v>0.83999999999969077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6000</v>
      </c>
      <c r="E687" s="1">
        <v>0</v>
      </c>
      <c r="F687" s="1">
        <v>0</v>
      </c>
      <c r="G687" s="2">
        <f t="shared" si="10"/>
        <v>8232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10347.51</v>
      </c>
      <c r="D703" s="1">
        <f>'PR-RAS'!E710</f>
        <v>8405.1299999999992</v>
      </c>
      <c r="E703" s="1">
        <v>0</v>
      </c>
      <c r="F703" s="1">
        <v>0</v>
      </c>
      <c r="G703" s="2">
        <f t="shared" si="10"/>
        <v>19064.754539999998</v>
      </c>
      <c r="H703" s="2">
        <f t="shared" si="11"/>
        <v>0.61999999999898137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13012.4</v>
      </c>
      <c r="D711" s="1">
        <f>'PR-RAS'!E718</f>
        <v>15708.89</v>
      </c>
      <c r="E711" s="1">
        <v>0</v>
      </c>
      <c r="F711" s="1">
        <v>0</v>
      </c>
      <c r="G711" s="2">
        <f t="shared" si="10"/>
        <v>31545.427799999998</v>
      </c>
      <c r="H711" s="2">
        <f t="shared" si="11"/>
        <v>0.51000000000021828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v>
      </c>
      <c r="D713" s="1">
        <f>'PR-RAS'!E720</f>
        <v>2027.56</v>
      </c>
      <c r="E713" s="1">
        <v>0</v>
      </c>
      <c r="F713" s="1">
        <v>0</v>
      </c>
      <c r="G713" s="2">
        <f t="shared" si="10"/>
        <v>4021.2478399999995</v>
      </c>
      <c r="H713" s="2">
        <f t="shared" si="11"/>
        <v>0.74000000000000909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88.4</v>
      </c>
      <c r="D714" s="1">
        <f>'PR-RAS'!E721</f>
        <v>0</v>
      </c>
      <c r="E714" s="1">
        <v>0</v>
      </c>
      <c r="F714" s="1">
        <v>0</v>
      </c>
      <c r="G714" s="2">
        <f t="shared" si="10"/>
        <v>63.029200000000003</v>
      </c>
      <c r="H714" s="2">
        <f t="shared" si="11"/>
        <v>0.40000000000000568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1958.26</v>
      </c>
      <c r="D715" s="1">
        <f>'PR-RAS'!E722</f>
        <v>1345.63</v>
      </c>
      <c r="E715" s="1">
        <v>0</v>
      </c>
      <c r="F715" s="1">
        <v>0</v>
      </c>
      <c r="G715" s="2">
        <f t="shared" si="10"/>
        <v>3319.7572800000003</v>
      </c>
      <c r="H715" s="2">
        <f t="shared" si="11"/>
        <v>0.62999999999988177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156.44999999999999</v>
      </c>
      <c r="D716" s="1">
        <f>'PR-RAS'!E723</f>
        <v>0</v>
      </c>
      <c r="E716" s="1">
        <v>0</v>
      </c>
      <c r="F716" s="1">
        <v>0</v>
      </c>
      <c r="G716" s="2">
        <f t="shared" si="10"/>
        <v>111.86174999999999</v>
      </c>
      <c r="H716" s="2">
        <f t="shared" si="11"/>
        <v>0.44999999999998863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84743.77</v>
      </c>
      <c r="D1480" s="6"/>
      <c r="E1480" s="6">
        <v>0</v>
      </c>
      <c r="F1480" s="6">
        <v>0</v>
      </c>
      <c r="G1480" s="7">
        <f t="shared" ref="G1480:G1580" si="34">B1480/1000*C1480</f>
        <v>84.743770000000012</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635030.60999999987</v>
      </c>
      <c r="D1481" s="1">
        <v>0</v>
      </c>
      <c r="E1481" s="1">
        <v>0</v>
      </c>
      <c r="F1481" s="1">
        <v>0</v>
      </c>
      <c r="G1481" s="2">
        <f t="shared" si="34"/>
        <v>1270.0612199999998</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487.94</v>
      </c>
      <c r="D1482" s="1">
        <v>0</v>
      </c>
      <c r="E1482" s="1">
        <v>0</v>
      </c>
      <c r="F1482" s="1">
        <v>0</v>
      </c>
      <c r="G1482" s="2">
        <f t="shared" si="34"/>
        <v>1.4638200000000001</v>
      </c>
      <c r="H1482" s="2">
        <f t="shared" si="35"/>
        <v>6.0000000000002274E-2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623173.57999999996</v>
      </c>
      <c r="D1483" s="1">
        <v>0</v>
      </c>
      <c r="E1483" s="1">
        <v>0</v>
      </c>
      <c r="F1483" s="1">
        <v>0</v>
      </c>
      <c r="G1483" s="2">
        <f t="shared" si="34"/>
        <v>2492.6943200000001</v>
      </c>
      <c r="H1483" s="2">
        <f t="shared" si="35"/>
        <v>0.42000000004190952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480680.87</v>
      </c>
      <c r="D1484" s="1">
        <v>0</v>
      </c>
      <c r="E1484" s="1">
        <v>0</v>
      </c>
      <c r="F1484" s="1">
        <v>0</v>
      </c>
      <c r="G1484" s="2">
        <f t="shared" si="34"/>
        <v>2403.4043500000002</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141920.46</v>
      </c>
      <c r="D1485" s="1">
        <v>0</v>
      </c>
      <c r="E1485" s="1">
        <v>0</v>
      </c>
      <c r="F1485" s="1">
        <v>0</v>
      </c>
      <c r="G1485" s="2">
        <f t="shared" si="34"/>
        <v>851.52275999999995</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391.03</v>
      </c>
      <c r="D1486" s="1">
        <v>0</v>
      </c>
      <c r="E1486" s="1">
        <v>0</v>
      </c>
      <c r="F1486" s="1">
        <v>0</v>
      </c>
      <c r="G1486" s="2">
        <f t="shared" si="34"/>
        <v>2.7372099999999997</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181.22</v>
      </c>
      <c r="D1491" s="1">
        <v>0</v>
      </c>
      <c r="E1491" s="1">
        <v>0</v>
      </c>
      <c r="F1491" s="1">
        <v>0</v>
      </c>
      <c r="G1491" s="2">
        <f t="shared" si="34"/>
        <v>2.1746400000000001</v>
      </c>
      <c r="H1491" s="2">
        <f t="shared" si="35"/>
        <v>0.21999999999999886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11369.09</v>
      </c>
      <c r="D1492" s="1">
        <v>0</v>
      </c>
      <c r="E1492" s="1">
        <v>0</v>
      </c>
      <c r="F1492" s="1">
        <v>0</v>
      </c>
      <c r="G1492" s="2">
        <f t="shared" si="34"/>
        <v>147.79817</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635148.41999999981</v>
      </c>
      <c r="D1499" s="1">
        <v>0</v>
      </c>
      <c r="E1499" s="1">
        <v>0</v>
      </c>
      <c r="F1499" s="1">
        <v>0</v>
      </c>
      <c r="G1499" s="2">
        <f t="shared" si="34"/>
        <v>12702.968399999996</v>
      </c>
      <c r="H1499" s="2">
        <f t="shared" si="35"/>
        <v>0.41999999980907887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487.94</v>
      </c>
      <c r="D1500" s="1">
        <v>0</v>
      </c>
      <c r="E1500" s="1">
        <v>0</v>
      </c>
      <c r="F1500" s="1">
        <v>0</v>
      </c>
      <c r="G1500" s="2">
        <f t="shared" si="34"/>
        <v>10.246740000000001</v>
      </c>
      <c r="H1500" s="2">
        <f t="shared" si="35"/>
        <v>6.0000000000002274E-2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623291.3899999999</v>
      </c>
      <c r="D1501" s="1">
        <v>0</v>
      </c>
      <c r="E1501" s="1">
        <v>0</v>
      </c>
      <c r="F1501" s="1">
        <v>0</v>
      </c>
      <c r="G1501" s="2">
        <f t="shared" si="34"/>
        <v>13712.410579999996</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471964.3</v>
      </c>
      <c r="D1502" s="1">
        <v>0</v>
      </c>
      <c r="E1502" s="1">
        <v>0</v>
      </c>
      <c r="F1502" s="1">
        <v>0</v>
      </c>
      <c r="G1502" s="2">
        <f t="shared" si="34"/>
        <v>10855.178899999999</v>
      </c>
      <c r="H1502" s="2">
        <f t="shared" si="35"/>
        <v>0.29999999998835847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149780.16</v>
      </c>
      <c r="D1503" s="1">
        <v>0</v>
      </c>
      <c r="E1503" s="1">
        <v>0</v>
      </c>
      <c r="F1503" s="1">
        <v>0</v>
      </c>
      <c r="G1503" s="2">
        <f t="shared" si="34"/>
        <v>3594.7238400000001</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481.94</v>
      </c>
      <c r="D1504" s="1">
        <v>0</v>
      </c>
      <c r="E1504" s="1">
        <v>0</v>
      </c>
      <c r="F1504" s="1">
        <v>0</v>
      </c>
      <c r="G1504" s="2">
        <f t="shared" si="34"/>
        <v>12.048500000000001</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1064.99</v>
      </c>
      <c r="D1509" s="1">
        <v>0</v>
      </c>
      <c r="E1509" s="1">
        <v>0</v>
      </c>
      <c r="F1509" s="1">
        <v>0</v>
      </c>
      <c r="G1509" s="2">
        <f t="shared" si="34"/>
        <v>31.9497</v>
      </c>
      <c r="H1509" s="2">
        <f t="shared" si="35"/>
        <v>9.9999999999909051E-3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11369.09</v>
      </c>
      <c r="D1510" s="1">
        <v>0</v>
      </c>
      <c r="E1510" s="1">
        <v>0</v>
      </c>
      <c r="F1510" s="1">
        <v>0</v>
      </c>
      <c r="G1510" s="2">
        <f t="shared" si="34"/>
        <v>352.44179000000003</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84625.960000000079</v>
      </c>
      <c r="D1517" s="1">
        <v>0</v>
      </c>
      <c r="E1517" s="1">
        <v>0</v>
      </c>
      <c r="F1517" s="1">
        <v>0</v>
      </c>
      <c r="G1517" s="2">
        <f t="shared" si="34"/>
        <v>3215.7864800000029</v>
      </c>
      <c r="H1517" s="2">
        <f t="shared" si="35"/>
        <v>3.9999999920837581E-2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84625.96</v>
      </c>
      <c r="D1576" s="1">
        <v>0</v>
      </c>
      <c r="E1576" s="1">
        <v>0</v>
      </c>
      <c r="F1576" s="1">
        <v>0</v>
      </c>
      <c r="G1576" s="2">
        <f t="shared" si="34"/>
        <v>8208.7181200000014</v>
      </c>
      <c r="H1576" s="2">
        <f t="shared" si="35"/>
        <v>3.9999999993597157E-2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84625.96</v>
      </c>
      <c r="D1578" s="1">
        <v>0</v>
      </c>
      <c r="E1578" s="1">
        <v>0</v>
      </c>
      <c r="F1578" s="1">
        <v>0</v>
      </c>
      <c r="G1578" s="2">
        <f t="shared" si="34"/>
        <v>8377.9700400000002</v>
      </c>
      <c r="H1578" s="2">
        <f t="shared" si="35"/>
        <v>3.9999999993597157E-2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8883</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e">
        <f>IF(OR(MAX(Skriveni!C2:F983)&gt;0,MIN(Skriveni!C2:F983)&lt;0),"DA","NE")</f>
        <v>#REF!</v>
      </c>
      <c r="I7" s="25" t="e">
        <f>IF(AND(H7="DA",Kont!E20&gt;0),Kont!E20,"Nema")</f>
        <v>#REF!</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383464.13</v>
      </c>
      <c r="I16" s="170">
        <f>'PR-RAS'!E6</f>
        <v>639384.21</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371538.03</v>
      </c>
      <c r="I17" s="170">
        <f>'PR-RAS'!E151</f>
        <v>611811.02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10029.579999999976</v>
      </c>
      <c r="I18" s="170">
        <f>'PR-RAS'!E645</f>
        <v>51527.949999999983</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84743.77</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84625.960000000079</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84625.96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14" zoomScaleNormal="100" workbookViewId="0">
      <selection activeCell="E717" sqref="E7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383464.13</v>
      </c>
      <c r="E6" s="51">
        <f>E7+E44+E50+E82+E106+E124+E133+E139</f>
        <v>639384.21</v>
      </c>
      <c r="F6" s="52">
        <f t="shared" ref="F6:F131" si="0">IF(D6&lt;&gt;0,IF(E6/D6&gt;=100,"&gt;&gt;100",E6/D6*100),"-")</f>
        <v>166.7389880769291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306360.26</v>
      </c>
      <c r="E50" s="51">
        <f>E51+E54+E59+E62+E65+E68+E71+E74+E77</f>
        <v>552467.38</v>
      </c>
      <c r="F50" s="52">
        <f t="shared" si="0"/>
        <v>180.3325862172855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306360.26</v>
      </c>
      <c r="E68" s="51">
        <f t="shared" si="15"/>
        <v>546467.38</v>
      </c>
      <c r="F68" s="52">
        <f t="shared" si="0"/>
        <v>178.37410766004703</v>
      </c>
    </row>
    <row r="69" spans="1:6" ht="12.75" customHeight="1" x14ac:dyDescent="0.2">
      <c r="A69" s="53" t="s">
        <v>184</v>
      </c>
      <c r="B69" s="85" t="s">
        <v>185</v>
      </c>
      <c r="C69" s="50" t="s">
        <v>184</v>
      </c>
      <c r="D69" s="242">
        <v>306360.26</v>
      </c>
      <c r="E69" s="242">
        <v>546467.38</v>
      </c>
      <c r="F69" s="52">
        <f t="shared" si="0"/>
        <v>178.37410766004703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6000</v>
      </c>
      <c r="F74" s="52" t="str">
        <f t="shared" si="0"/>
        <v>-</v>
      </c>
    </row>
    <row r="75" spans="1:6" ht="12.75" customHeight="1" x14ac:dyDescent="0.2">
      <c r="A75" s="53" t="s">
        <v>196</v>
      </c>
      <c r="B75" s="85" t="s">
        <v>197</v>
      </c>
      <c r="C75" s="50" t="s">
        <v>196</v>
      </c>
      <c r="D75" s="242">
        <v>0</v>
      </c>
      <c r="E75" s="242">
        <v>6000</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10347.51</v>
      </c>
      <c r="E106" s="51">
        <f t="shared" si="23"/>
        <v>8405.1299999999992</v>
      </c>
      <c r="F106" s="52">
        <f t="shared" si="0"/>
        <v>81.228527442834064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10347.51</v>
      </c>
      <c r="E112" s="51">
        <f t="shared" si="25"/>
        <v>8405.1299999999992</v>
      </c>
      <c r="F112" s="52">
        <f t="shared" si="0"/>
        <v>81.228527442834064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10347.51</v>
      </c>
      <c r="E117" s="242">
        <v>8405.1299999999992</v>
      </c>
      <c r="F117" s="52">
        <f t="shared" si="0"/>
        <v>81.228527442834064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4729.3</v>
      </c>
      <c r="E124" s="51">
        <f t="shared" si="27"/>
        <v>5762.52</v>
      </c>
      <c r="F124" s="52">
        <f t="shared" si="0"/>
        <v>121.8472078320259</v>
      </c>
    </row>
    <row r="125" spans="1:6" ht="12.75" customHeight="1" x14ac:dyDescent="0.2">
      <c r="A125" s="53">
        <v>661</v>
      </c>
      <c r="B125" s="86" t="s">
        <v>296</v>
      </c>
      <c r="C125" s="50" t="s">
        <v>297</v>
      </c>
      <c r="D125" s="51">
        <f t="shared" ref="D125:E125" si="28">SUM(D126:D127)</f>
        <v>4729.3</v>
      </c>
      <c r="E125" s="51">
        <f t="shared" si="28"/>
        <v>5762.52</v>
      </c>
      <c r="F125" s="52">
        <f t="shared" si="0"/>
        <v>121.8472078320259</v>
      </c>
    </row>
    <row r="126" spans="1:6" ht="12.75" customHeight="1" x14ac:dyDescent="0.2">
      <c r="A126" s="53">
        <v>6614</v>
      </c>
      <c r="B126" s="86" t="s">
        <v>298</v>
      </c>
      <c r="C126" s="50" t="s">
        <v>299</v>
      </c>
      <c r="D126" s="242">
        <v>30.52</v>
      </c>
      <c r="E126" s="242">
        <v>99.92</v>
      </c>
      <c r="F126" s="52">
        <f t="shared" si="0"/>
        <v>327.39187418086499</v>
      </c>
    </row>
    <row r="127" spans="1:6" ht="12.75" customHeight="1" x14ac:dyDescent="0.2">
      <c r="A127" s="53">
        <v>6615</v>
      </c>
      <c r="B127" s="86" t="s">
        <v>300</v>
      </c>
      <c r="C127" s="50" t="s">
        <v>301</v>
      </c>
      <c r="D127" s="242">
        <v>4698.78</v>
      </c>
      <c r="E127" s="242">
        <v>5662.6</v>
      </c>
      <c r="F127" s="52">
        <f t="shared" si="0"/>
        <v>120.51213293663463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62027.06</v>
      </c>
      <c r="E133" s="51">
        <f t="shared" si="30"/>
        <v>72749.179999999993</v>
      </c>
      <c r="F133" s="52">
        <f t="shared" ref="F133:F223" si="31">IF(D133&lt;&gt;0,IF(E133/D133&gt;=100,"&gt;&gt;100",E133/D133*100),"-")</f>
        <v>117.2861973467709</v>
      </c>
    </row>
    <row r="134" spans="1:6" ht="24" x14ac:dyDescent="0.2">
      <c r="A134" s="53">
        <v>671</v>
      </c>
      <c r="B134" s="232" t="s">
        <v>314</v>
      </c>
      <c r="C134" s="50" t="s">
        <v>315</v>
      </c>
      <c r="D134" s="51">
        <f t="shared" ref="D134:E134" si="32">SUM(D135:D137)</f>
        <v>62027.06</v>
      </c>
      <c r="E134" s="51">
        <f t="shared" si="32"/>
        <v>72749.179999999993</v>
      </c>
      <c r="F134" s="52">
        <f t="shared" si="31"/>
        <v>117.2861973467709</v>
      </c>
    </row>
    <row r="135" spans="1:6" ht="12.75" customHeight="1" x14ac:dyDescent="0.2">
      <c r="A135" s="53">
        <v>6711</v>
      </c>
      <c r="B135" s="85" t="s">
        <v>316</v>
      </c>
      <c r="C135" s="50" t="s">
        <v>317</v>
      </c>
      <c r="D135" s="242">
        <v>62027.06</v>
      </c>
      <c r="E135" s="242">
        <v>72446.179999999993</v>
      </c>
      <c r="F135" s="52">
        <f t="shared" si="31"/>
        <v>116.79770087442481</v>
      </c>
    </row>
    <row r="136" spans="1:6" ht="24" x14ac:dyDescent="0.2">
      <c r="A136" s="53">
        <v>6712</v>
      </c>
      <c r="B136" s="232" t="s">
        <v>318</v>
      </c>
      <c r="C136" s="50" t="s">
        <v>319</v>
      </c>
      <c r="D136" s="242">
        <v>0</v>
      </c>
      <c r="E136" s="242">
        <v>303</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371538.03</v>
      </c>
      <c r="E151" s="51">
        <f t="shared" si="35"/>
        <v>611811.02</v>
      </c>
      <c r="F151" s="52">
        <f t="shared" si="31"/>
        <v>164.66982397468166</v>
      </c>
    </row>
    <row r="152" spans="1:6" ht="12.75" customHeight="1" x14ac:dyDescent="0.2">
      <c r="A152" s="53">
        <v>31</v>
      </c>
      <c r="B152" s="85" t="s">
        <v>349</v>
      </c>
      <c r="C152" s="50" t="s">
        <v>35</v>
      </c>
      <c r="D152" s="51">
        <f t="shared" ref="D152:E152" si="36">D153+D158+D159</f>
        <v>284967</v>
      </c>
      <c r="E152" s="51">
        <f t="shared" si="36"/>
        <v>469539.29</v>
      </c>
      <c r="F152" s="52">
        <f t="shared" si="31"/>
        <v>164.76970666778959</v>
      </c>
    </row>
    <row r="153" spans="1:6" ht="12.75" customHeight="1" x14ac:dyDescent="0.2">
      <c r="A153" s="53">
        <v>311</v>
      </c>
      <c r="B153" s="85" t="s">
        <v>350</v>
      </c>
      <c r="C153" s="50" t="s">
        <v>351</v>
      </c>
      <c r="D153" s="51">
        <f t="shared" ref="D153:E153" si="37">SUM(D154:D157)</f>
        <v>236507.41</v>
      </c>
      <c r="E153" s="51">
        <f t="shared" si="37"/>
        <v>391708.23</v>
      </c>
      <c r="F153" s="52">
        <f t="shared" si="31"/>
        <v>165.62196930743099</v>
      </c>
    </row>
    <row r="154" spans="1:6" ht="12.75" customHeight="1" x14ac:dyDescent="0.2">
      <c r="A154" s="53">
        <v>3111</v>
      </c>
      <c r="B154" s="85" t="s">
        <v>352</v>
      </c>
      <c r="C154" s="50" t="s">
        <v>353</v>
      </c>
      <c r="D154" s="242">
        <v>236507.41</v>
      </c>
      <c r="E154" s="242">
        <v>391708.23</v>
      </c>
      <c r="F154" s="52">
        <f t="shared" si="31"/>
        <v>165.62196930743099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9400.99</v>
      </c>
      <c r="E158" s="242">
        <v>15122.94</v>
      </c>
      <c r="F158" s="52">
        <f t="shared" si="31"/>
        <v>160.86539821869826</v>
      </c>
    </row>
    <row r="159" spans="1:6" ht="12.75" customHeight="1" x14ac:dyDescent="0.2">
      <c r="A159" s="53">
        <v>313</v>
      </c>
      <c r="B159" s="85" t="s">
        <v>362</v>
      </c>
      <c r="C159" s="50" t="s">
        <v>363</v>
      </c>
      <c r="D159" s="51">
        <f t="shared" ref="D159:E159" si="38">SUM(D160:D162)</f>
        <v>39058.6</v>
      </c>
      <c r="E159" s="51">
        <f t="shared" si="38"/>
        <v>62708.12</v>
      </c>
      <c r="F159" s="52">
        <f t="shared" si="31"/>
        <v>160.54881639382876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39058.6</v>
      </c>
      <c r="E161" s="242">
        <v>62708.12</v>
      </c>
      <c r="F161" s="52">
        <f t="shared" si="31"/>
        <v>160.54881639382876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85839.530000000013</v>
      </c>
      <c r="E163" s="51">
        <f t="shared" si="39"/>
        <v>141502.70000000001</v>
      </c>
      <c r="F163" s="52">
        <f t="shared" si="31"/>
        <v>164.84561367006552</v>
      </c>
    </row>
    <row r="164" spans="1:6" ht="12.75" customHeight="1" x14ac:dyDescent="0.2">
      <c r="A164" s="53">
        <v>321</v>
      </c>
      <c r="B164" s="85" t="s">
        <v>371</v>
      </c>
      <c r="C164" s="50" t="s">
        <v>372</v>
      </c>
      <c r="D164" s="51">
        <f t="shared" ref="D164:E164" si="40">SUM(D165:D168)</f>
        <v>16705.579999999998</v>
      </c>
      <c r="E164" s="51">
        <f t="shared" si="40"/>
        <v>27562.52</v>
      </c>
      <c r="F164" s="52">
        <f t="shared" si="31"/>
        <v>164.98990157779619</v>
      </c>
    </row>
    <row r="165" spans="1:6" ht="12.75" customHeight="1" x14ac:dyDescent="0.2">
      <c r="A165" s="53">
        <v>3211</v>
      </c>
      <c r="B165" s="85" t="s">
        <v>373</v>
      </c>
      <c r="C165" s="50" t="s">
        <v>374</v>
      </c>
      <c r="D165" s="242">
        <v>3107.82</v>
      </c>
      <c r="E165" s="242">
        <v>11058.98</v>
      </c>
      <c r="F165" s="52">
        <f t="shared" si="31"/>
        <v>355.84364602840577</v>
      </c>
    </row>
    <row r="166" spans="1:6" ht="12.75" customHeight="1" x14ac:dyDescent="0.2">
      <c r="A166" s="53">
        <v>3212</v>
      </c>
      <c r="B166" s="85" t="s">
        <v>375</v>
      </c>
      <c r="C166" s="50" t="s">
        <v>376</v>
      </c>
      <c r="D166" s="242">
        <v>13012.4</v>
      </c>
      <c r="E166" s="242">
        <v>15708.89</v>
      </c>
      <c r="F166" s="52">
        <f t="shared" si="31"/>
        <v>120.72246472595371</v>
      </c>
    </row>
    <row r="167" spans="1:6" ht="12.75" customHeight="1" x14ac:dyDescent="0.2">
      <c r="A167" s="53">
        <v>3213</v>
      </c>
      <c r="B167" s="85" t="s">
        <v>377</v>
      </c>
      <c r="C167" s="50" t="s">
        <v>378</v>
      </c>
      <c r="D167" s="242">
        <v>585.36</v>
      </c>
      <c r="E167" s="242">
        <v>794.65</v>
      </c>
      <c r="F167" s="52">
        <f t="shared" si="31"/>
        <v>135.75406587399206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36829.610000000008</v>
      </c>
      <c r="E169" s="51">
        <f t="shared" si="41"/>
        <v>61012.09</v>
      </c>
      <c r="F169" s="52">
        <f t="shared" si="31"/>
        <v>165.66042920356742</v>
      </c>
    </row>
    <row r="170" spans="1:6" ht="12.75" customHeight="1" x14ac:dyDescent="0.2">
      <c r="A170" s="53">
        <v>3221</v>
      </c>
      <c r="B170" s="85" t="s">
        <v>383</v>
      </c>
      <c r="C170" s="50" t="s">
        <v>384</v>
      </c>
      <c r="D170" s="242">
        <v>3499.58</v>
      </c>
      <c r="E170" s="242">
        <v>13514.5</v>
      </c>
      <c r="F170" s="52">
        <f t="shared" si="31"/>
        <v>386.17491241806164</v>
      </c>
    </row>
    <row r="171" spans="1:6" ht="12.75" customHeight="1" x14ac:dyDescent="0.2">
      <c r="A171" s="53">
        <v>3222</v>
      </c>
      <c r="B171" s="85" t="s">
        <v>385</v>
      </c>
      <c r="C171" s="50" t="s">
        <v>386</v>
      </c>
      <c r="D171" s="242">
        <v>20975.33</v>
      </c>
      <c r="E171" s="242">
        <v>37532.36</v>
      </c>
      <c r="F171" s="52">
        <f t="shared" si="31"/>
        <v>178.93573068933836</v>
      </c>
    </row>
    <row r="172" spans="1:6" ht="12.75" customHeight="1" x14ac:dyDescent="0.2">
      <c r="A172" s="53">
        <v>3223</v>
      </c>
      <c r="B172" s="85" t="s">
        <v>387</v>
      </c>
      <c r="C172" s="50" t="s">
        <v>388</v>
      </c>
      <c r="D172" s="242">
        <v>11014.16</v>
      </c>
      <c r="E172" s="242">
        <v>7283.92</v>
      </c>
      <c r="F172" s="52">
        <f t="shared" si="31"/>
        <v>66.13232420811029</v>
      </c>
    </row>
    <row r="173" spans="1:6" ht="12.75" customHeight="1" x14ac:dyDescent="0.2">
      <c r="A173" s="53">
        <v>3224</v>
      </c>
      <c r="B173" s="85" t="s">
        <v>389</v>
      </c>
      <c r="C173" s="50" t="s">
        <v>390</v>
      </c>
      <c r="D173" s="242">
        <v>9.86</v>
      </c>
      <c r="E173" s="242">
        <v>467.39</v>
      </c>
      <c r="F173" s="52">
        <f t="shared" si="31"/>
        <v>4740.26369168357</v>
      </c>
    </row>
    <row r="174" spans="1:6" ht="12.75" customHeight="1" x14ac:dyDescent="0.2">
      <c r="A174" s="53">
        <v>3225</v>
      </c>
      <c r="B174" s="85" t="s">
        <v>391</v>
      </c>
      <c r="C174" s="50" t="s">
        <v>392</v>
      </c>
      <c r="D174" s="242">
        <v>1330.68</v>
      </c>
      <c r="E174" s="242">
        <v>2213.92</v>
      </c>
      <c r="F174" s="52">
        <f t="shared" si="31"/>
        <v>166.37508642197974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30533.510000000002</v>
      </c>
      <c r="E177" s="51">
        <f t="shared" si="42"/>
        <v>46055.770000000004</v>
      </c>
      <c r="F177" s="52">
        <f t="shared" si="31"/>
        <v>150.83680192680109</v>
      </c>
    </row>
    <row r="178" spans="1:6" ht="12.75" customHeight="1" x14ac:dyDescent="0.2">
      <c r="A178" s="53">
        <v>3231</v>
      </c>
      <c r="B178" s="85" t="s">
        <v>399</v>
      </c>
      <c r="C178" s="50" t="s">
        <v>400</v>
      </c>
      <c r="D178" s="242">
        <v>20854.28</v>
      </c>
      <c r="E178" s="242">
        <v>32580.65</v>
      </c>
      <c r="F178" s="52">
        <f t="shared" si="31"/>
        <v>156.23004006851352</v>
      </c>
    </row>
    <row r="179" spans="1:6" ht="12.75" customHeight="1" x14ac:dyDescent="0.2">
      <c r="A179" s="53">
        <v>3232</v>
      </c>
      <c r="B179" s="85" t="s">
        <v>401</v>
      </c>
      <c r="C179" s="50" t="s">
        <v>402</v>
      </c>
      <c r="D179" s="242">
        <v>3033.5</v>
      </c>
      <c r="E179" s="242">
        <v>4102.07</v>
      </c>
      <c r="F179" s="52">
        <f t="shared" si="31"/>
        <v>135.22564694247566</v>
      </c>
    </row>
    <row r="180" spans="1:6" ht="12.75" customHeight="1" x14ac:dyDescent="0.2">
      <c r="A180" s="53">
        <v>3233</v>
      </c>
      <c r="B180" s="85" t="s">
        <v>403</v>
      </c>
      <c r="C180" s="50" t="s">
        <v>404</v>
      </c>
      <c r="D180" s="242">
        <v>222.72</v>
      </c>
      <c r="E180" s="242">
        <v>281.2</v>
      </c>
      <c r="F180" s="52">
        <f t="shared" si="31"/>
        <v>126.25718390804596</v>
      </c>
    </row>
    <row r="181" spans="1:6" ht="12.75" customHeight="1" x14ac:dyDescent="0.2">
      <c r="A181" s="53">
        <v>3234</v>
      </c>
      <c r="B181" s="85" t="s">
        <v>405</v>
      </c>
      <c r="C181" s="50" t="s">
        <v>406</v>
      </c>
      <c r="D181" s="242">
        <v>929.84</v>
      </c>
      <c r="E181" s="242">
        <v>1843.12</v>
      </c>
      <c r="F181" s="52">
        <f t="shared" si="31"/>
        <v>198.21904843844101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1869.52</v>
      </c>
      <c r="E183" s="242">
        <v>2310.62</v>
      </c>
      <c r="F183" s="52">
        <f t="shared" si="31"/>
        <v>123.59429158286619</v>
      </c>
    </row>
    <row r="184" spans="1:6" ht="12.75" customHeight="1" x14ac:dyDescent="0.2">
      <c r="A184" s="53">
        <v>3237</v>
      </c>
      <c r="B184" s="85" t="s">
        <v>411</v>
      </c>
      <c r="C184" s="50" t="s">
        <v>412</v>
      </c>
      <c r="D184" s="242">
        <v>2434.29</v>
      </c>
      <c r="E184" s="242">
        <v>3749.13</v>
      </c>
      <c r="F184" s="52">
        <f t="shared" si="31"/>
        <v>154.01328518787821</v>
      </c>
    </row>
    <row r="185" spans="1:6" ht="12.75" customHeight="1" x14ac:dyDescent="0.2">
      <c r="A185" s="53">
        <v>3238</v>
      </c>
      <c r="B185" s="85" t="s">
        <v>413</v>
      </c>
      <c r="C185" s="50" t="s">
        <v>414</v>
      </c>
      <c r="D185" s="242">
        <v>874.36</v>
      </c>
      <c r="E185" s="242">
        <v>905.3</v>
      </c>
      <c r="F185" s="52">
        <f t="shared" si="31"/>
        <v>103.53858822452993</v>
      </c>
    </row>
    <row r="186" spans="1:6" ht="12.75" customHeight="1" x14ac:dyDescent="0.2">
      <c r="A186" s="53">
        <v>3239</v>
      </c>
      <c r="B186" s="85" t="s">
        <v>415</v>
      </c>
      <c r="C186" s="50" t="s">
        <v>416</v>
      </c>
      <c r="D186" s="242">
        <v>315</v>
      </c>
      <c r="E186" s="242">
        <v>283.68</v>
      </c>
      <c r="F186" s="52">
        <f t="shared" si="31"/>
        <v>90.057142857142864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 si="43">SUM(D189:D195)</f>
        <v>1770.8300000000002</v>
      </c>
      <c r="E188" s="51">
        <f>SUM(E189:E195)</f>
        <v>6872.3200000000006</v>
      </c>
      <c r="F188" s="52">
        <f t="shared" si="31"/>
        <v>388.08468345352179</v>
      </c>
    </row>
    <row r="189" spans="1:6" ht="12.75" customHeight="1" x14ac:dyDescent="0.2">
      <c r="A189" s="53">
        <v>3291</v>
      </c>
      <c r="B189" s="232" t="s">
        <v>421</v>
      </c>
      <c r="C189" s="50" t="s">
        <v>422</v>
      </c>
      <c r="D189" s="242">
        <v>551.08000000000004</v>
      </c>
      <c r="E189" s="242"/>
      <c r="F189" s="52">
        <f t="shared" si="31"/>
        <v>0</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839.14</v>
      </c>
      <c r="F191" s="52" t="str">
        <f t="shared" si="31"/>
        <v>-</v>
      </c>
    </row>
    <row r="192" spans="1:6" ht="12.75" customHeight="1" x14ac:dyDescent="0.2">
      <c r="A192" s="53">
        <v>3294</v>
      </c>
      <c r="B192" s="85" t="s">
        <v>427</v>
      </c>
      <c r="C192" s="50" t="s">
        <v>428</v>
      </c>
      <c r="D192" s="242">
        <v>121.36</v>
      </c>
      <c r="E192" s="242">
        <v>5293.09</v>
      </c>
      <c r="F192" s="52">
        <f t="shared" si="31"/>
        <v>4361.4782465392227</v>
      </c>
    </row>
    <row r="193" spans="1:6" ht="12.75" customHeight="1" x14ac:dyDescent="0.2">
      <c r="A193" s="53">
        <v>3295</v>
      </c>
      <c r="B193" s="85" t="s">
        <v>429</v>
      </c>
      <c r="C193" s="50" t="s">
        <v>430</v>
      </c>
      <c r="D193" s="242">
        <v>923.96</v>
      </c>
      <c r="E193" s="242">
        <v>394.84</v>
      </c>
      <c r="F193" s="52">
        <f t="shared" si="31"/>
        <v>42.733451664574218</v>
      </c>
    </row>
    <row r="194" spans="1:6" ht="12.75" customHeight="1" x14ac:dyDescent="0.2">
      <c r="A194" s="53" t="s">
        <v>431</v>
      </c>
      <c r="B194" s="85" t="s">
        <v>432</v>
      </c>
      <c r="C194" s="50" t="s">
        <v>431</v>
      </c>
      <c r="D194" s="242">
        <v>124.43</v>
      </c>
      <c r="E194" s="310"/>
      <c r="F194" s="52">
        <f>IF(D194&lt;&gt;0,IF(E195/D194&gt;=100,"&gt;&gt;100",E195/D194*100),"-")</f>
        <v>277.46524150124566</v>
      </c>
    </row>
    <row r="195" spans="1:6" ht="12.75" customHeight="1" x14ac:dyDescent="0.2">
      <c r="A195" s="53">
        <v>3299</v>
      </c>
      <c r="B195" s="85" t="s">
        <v>433</v>
      </c>
      <c r="C195" s="50" t="s">
        <v>434</v>
      </c>
      <c r="D195" s="242">
        <v>50</v>
      </c>
      <c r="E195" s="242">
        <v>345.25</v>
      </c>
      <c r="F195" s="52" t="e">
        <f>IF(D195&lt;&gt;0,IF(#REF!/D195&gt;=100,"&gt;&gt;100",#REF!/D195*100),"-")</f>
        <v>#REF!</v>
      </c>
    </row>
    <row r="196" spans="1:6" ht="12.75" customHeight="1" x14ac:dyDescent="0.2">
      <c r="A196" s="53">
        <v>34</v>
      </c>
      <c r="B196" s="232" t="s">
        <v>435</v>
      </c>
      <c r="C196" s="50" t="s">
        <v>436</v>
      </c>
      <c r="D196" s="51">
        <f t="shared" ref="D196:E196" si="44">D197+D202+D210</f>
        <v>343.47999999999996</v>
      </c>
      <c r="E196" s="51">
        <f t="shared" si="44"/>
        <v>391.03</v>
      </c>
      <c r="F196" s="52">
        <f t="shared" si="31"/>
        <v>113.84360079189473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343.47999999999996</v>
      </c>
      <c r="E210" s="51">
        <f t="shared" si="47"/>
        <v>391.03</v>
      </c>
      <c r="F210" s="52">
        <f t="shared" si="31"/>
        <v>113.84360079189473</v>
      </c>
    </row>
    <row r="211" spans="1:6" ht="12.75" customHeight="1" x14ac:dyDescent="0.2">
      <c r="A211" s="53">
        <v>3431</v>
      </c>
      <c r="B211" s="232" t="s">
        <v>465</v>
      </c>
      <c r="C211" s="50" t="s">
        <v>466</v>
      </c>
      <c r="D211" s="242">
        <v>306.45999999999998</v>
      </c>
      <c r="E211" s="242">
        <v>391.03</v>
      </c>
      <c r="F211" s="52">
        <f t="shared" si="31"/>
        <v>127.59577106310775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37.020000000000003</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388.02</v>
      </c>
      <c r="E263" s="51">
        <f t="shared" si="68"/>
        <v>378</v>
      </c>
      <c r="F263" s="52">
        <f t="shared" ref="F263:F267" si="69">IF(D263&lt;&gt;0,IF(E263/D263&gt;=100,"&gt;&gt;100",E263/D263*100),"-")</f>
        <v>97.417658883562709</v>
      </c>
    </row>
    <row r="264" spans="1:6" ht="12.75" customHeight="1" x14ac:dyDescent="0.2">
      <c r="A264" s="53">
        <v>381</v>
      </c>
      <c r="B264" s="85" t="s">
        <v>567</v>
      </c>
      <c r="C264" s="50" t="s">
        <v>568</v>
      </c>
      <c r="D264" s="51">
        <f t="shared" ref="D264:E264" si="70">SUM(D265:D267)</f>
        <v>388.02</v>
      </c>
      <c r="E264" s="51">
        <f t="shared" si="70"/>
        <v>378</v>
      </c>
      <c r="F264" s="52">
        <f t="shared" si="69"/>
        <v>97.417658883562709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388.02</v>
      </c>
      <c r="E266" s="242">
        <v>378</v>
      </c>
      <c r="F266" s="52">
        <f t="shared" si="69"/>
        <v>97.417658883562709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371538.03</v>
      </c>
      <c r="E289" s="51">
        <f t="shared" si="79"/>
        <v>611811.02</v>
      </c>
      <c r="F289" s="52">
        <f t="shared" si="76"/>
        <v>164.66982397468166</v>
      </c>
    </row>
    <row r="290" spans="1:6" ht="12.75" customHeight="1" x14ac:dyDescent="0.2">
      <c r="A290" s="53" t="s">
        <v>608</v>
      </c>
      <c r="B290" s="85" t="s">
        <v>619</v>
      </c>
      <c r="C290" s="50" t="s">
        <v>620</v>
      </c>
      <c r="D290" s="51">
        <f>IF(D6&gt;=D289,D6-D289,0)</f>
        <v>11926.099999999977</v>
      </c>
      <c r="E290" s="51">
        <f>IF(E6&gt;=E289,E6-E289,0)</f>
        <v>27573.189999999944</v>
      </c>
      <c r="F290" s="52">
        <f t="shared" si="76"/>
        <v>231.20039241663241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5984.46</v>
      </c>
      <c r="E292" s="242">
        <v>62128.11</v>
      </c>
      <c r="F292" s="52">
        <f t="shared" si="76"/>
        <v>1038.1573274781686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907.75</v>
      </c>
      <c r="E294" s="242">
        <v>511.33</v>
      </c>
      <c r="F294" s="52">
        <f t="shared" si="76"/>
        <v>56.329385844120075</v>
      </c>
    </row>
    <row r="295" spans="1:6" ht="24" x14ac:dyDescent="0.2">
      <c r="A295" s="53">
        <v>9661</v>
      </c>
      <c r="B295" s="85" t="s">
        <v>629</v>
      </c>
      <c r="C295" s="50" t="s">
        <v>630</v>
      </c>
      <c r="D295" s="242">
        <v>1221.1099999999999</v>
      </c>
      <c r="E295" s="242">
        <v>488.46</v>
      </c>
      <c r="F295" s="52">
        <f t="shared" si="76"/>
        <v>40.001310283266868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1971.5</v>
      </c>
      <c r="E350" s="51">
        <f t="shared" si="95"/>
        <v>11369.09</v>
      </c>
      <c r="F350" s="52">
        <f t="shared" si="81"/>
        <v>576.67207709865579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1971.5</v>
      </c>
      <c r="E363" s="51">
        <f t="shared" si="99"/>
        <v>11369.09</v>
      </c>
      <c r="F363" s="52">
        <f t="shared" si="81"/>
        <v>576.67207709865579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1877.5</v>
      </c>
      <c r="E369" s="51">
        <f t="shared" si="101"/>
        <v>8355.67</v>
      </c>
      <c r="F369" s="52">
        <f t="shared" si="81"/>
        <v>445.04234354194409</v>
      </c>
    </row>
    <row r="370" spans="1:6" ht="12.75" customHeight="1" x14ac:dyDescent="0.2">
      <c r="A370" s="53">
        <v>4221</v>
      </c>
      <c r="B370" s="85" t="s">
        <v>674</v>
      </c>
      <c r="C370" s="50" t="s">
        <v>766</v>
      </c>
      <c r="D370" s="242">
        <v>0</v>
      </c>
      <c r="E370" s="242">
        <v>659.96</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6739.11</v>
      </c>
      <c r="F375" s="52" t="str">
        <f t="shared" si="81"/>
        <v>-</v>
      </c>
    </row>
    <row r="376" spans="1:6" ht="12.75" customHeight="1" x14ac:dyDescent="0.2">
      <c r="A376" s="53">
        <v>4227</v>
      </c>
      <c r="B376" s="232" t="s">
        <v>686</v>
      </c>
      <c r="C376" s="50" t="s">
        <v>773</v>
      </c>
      <c r="D376" s="242">
        <v>1877.5</v>
      </c>
      <c r="E376" s="242">
        <v>956.6</v>
      </c>
      <c r="F376" s="52">
        <f t="shared" si="81"/>
        <v>50.950732356857522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94</v>
      </c>
      <c r="E383" s="51">
        <f t="shared" si="103"/>
        <v>3013.42</v>
      </c>
      <c r="F383" s="52">
        <f t="shared" si="81"/>
        <v>3205.7659574468084</v>
      </c>
    </row>
    <row r="384" spans="1:6" ht="12.75" customHeight="1" x14ac:dyDescent="0.2">
      <c r="A384" s="53">
        <v>4241</v>
      </c>
      <c r="B384" s="85" t="s">
        <v>783</v>
      </c>
      <c r="C384" s="50" t="s">
        <v>784</v>
      </c>
      <c r="D384" s="242">
        <v>94</v>
      </c>
      <c r="E384" s="242">
        <v>3013.42</v>
      </c>
      <c r="F384" s="52">
        <f t="shared" si="81"/>
        <v>3205.7659574468084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1971.5</v>
      </c>
      <c r="E408" s="51">
        <f t="shared" si="111"/>
        <v>11369.09</v>
      </c>
      <c r="F408" s="52">
        <f t="shared" si="81"/>
        <v>576.67207709865579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5909.48</v>
      </c>
      <c r="E410" s="242">
        <v>26804.26</v>
      </c>
      <c r="F410" s="52">
        <f t="shared" si="81"/>
        <v>453.5806873024361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383464.13</v>
      </c>
      <c r="E412" s="51">
        <f>E6+E298</f>
        <v>639384.21</v>
      </c>
      <c r="F412" s="52">
        <f t="shared" si="81"/>
        <v>166.7389880769291</v>
      </c>
    </row>
    <row r="413" spans="1:6" ht="12.75" customHeight="1" x14ac:dyDescent="0.2">
      <c r="A413" s="53" t="s">
        <v>608</v>
      </c>
      <c r="B413" s="85" t="s">
        <v>831</v>
      </c>
      <c r="C413" s="50" t="s">
        <v>832</v>
      </c>
      <c r="D413" s="51">
        <f t="shared" ref="D413:E413" si="112">D289+D350</f>
        <v>373509.53</v>
      </c>
      <c r="E413" s="51">
        <f t="shared" si="112"/>
        <v>623180.11</v>
      </c>
      <c r="F413" s="52">
        <f t="shared" si="81"/>
        <v>166.84450059413476</v>
      </c>
    </row>
    <row r="414" spans="1:6" ht="12.75" customHeight="1" x14ac:dyDescent="0.2">
      <c r="A414" s="53" t="s">
        <v>608</v>
      </c>
      <c r="B414" s="85" t="s">
        <v>833</v>
      </c>
      <c r="C414" s="50" t="s">
        <v>834</v>
      </c>
      <c r="D414" s="51">
        <f t="shared" ref="D414:E414" si="113">IF(D412&gt;=D413,D412-D413,0)</f>
        <v>9954.5999999999767</v>
      </c>
      <c r="E414" s="51">
        <f t="shared" si="113"/>
        <v>16204.099999999977</v>
      </c>
      <c r="F414" s="52">
        <f t="shared" si="81"/>
        <v>162.78002129668712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74.980000000000473</v>
      </c>
      <c r="E416" s="51">
        <f t="shared" si="115"/>
        <v>35323.850000000006</v>
      </c>
      <c r="F416" s="52" t="str">
        <f t="shared" si="81"/>
        <v>&gt;&gt;100</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907.75</v>
      </c>
      <c r="E418" s="62">
        <f t="shared" si="117"/>
        <v>511.33</v>
      </c>
      <c r="F418" s="57">
        <f t="shared" si="81"/>
        <v>56.329385844120075</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383464.13</v>
      </c>
      <c r="E639" s="51">
        <f t="shared" si="180"/>
        <v>639384.21</v>
      </c>
      <c r="F639" s="52">
        <f t="shared" si="119"/>
        <v>166.7389880769291</v>
      </c>
    </row>
    <row r="640" spans="1:6" ht="12.75" customHeight="1" x14ac:dyDescent="0.2">
      <c r="A640" s="53" t="s">
        <v>608</v>
      </c>
      <c r="B640" s="85" t="s">
        <v>1277</v>
      </c>
      <c r="C640" s="50" t="s">
        <v>1278</v>
      </c>
      <c r="D640" s="51">
        <f t="shared" ref="D640:E640" si="181">D413+D528</f>
        <v>373509.53</v>
      </c>
      <c r="E640" s="51">
        <f t="shared" si="181"/>
        <v>623180.11</v>
      </c>
      <c r="F640" s="52">
        <f t="shared" si="119"/>
        <v>166.84450059413476</v>
      </c>
    </row>
    <row r="641" spans="1:6" ht="12.75" customHeight="1" x14ac:dyDescent="0.2">
      <c r="A641" s="53" t="s">
        <v>608</v>
      </c>
      <c r="B641" s="85" t="s">
        <v>1279</v>
      </c>
      <c r="C641" s="50" t="s">
        <v>1280</v>
      </c>
      <c r="D641" s="51">
        <f t="shared" ref="D641:E641" si="182">IF(D639&gt;=D640,D639-D640,0)</f>
        <v>9954.5999999999767</v>
      </c>
      <c r="E641" s="51">
        <f t="shared" si="182"/>
        <v>16204.099999999977</v>
      </c>
      <c r="F641" s="52">
        <f t="shared" si="119"/>
        <v>162.78002129668712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74.980000000000473</v>
      </c>
      <c r="E643" s="51">
        <f t="shared" si="184"/>
        <v>35323.850000000006</v>
      </c>
      <c r="F643" s="52" t="str">
        <f t="shared" si="119"/>
        <v>&gt;&gt;100</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10029.579999999976</v>
      </c>
      <c r="E645" s="51">
        <f t="shared" si="186"/>
        <v>51527.949999999983</v>
      </c>
      <c r="F645" s="52">
        <f t="shared" si="119"/>
        <v>513.75979851599084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51760.74</v>
      </c>
      <c r="E647" s="243">
        <v>82168.97</v>
      </c>
      <c r="F647" s="57">
        <f t="shared" si="119"/>
        <v>158.74767246372446</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4133.57</v>
      </c>
      <c r="E649" s="242">
        <v>46016.7</v>
      </c>
      <c r="F649" s="52">
        <f t="shared" ref="F649:F724" si="188">IF(D649&lt;&gt;0,IF(E649/D649&gt;=100,"&gt;&gt;100",E649/D649*100),"-")</f>
        <v>1113.2435158954609</v>
      </c>
    </row>
    <row r="650" spans="1:6" ht="12.75" customHeight="1" x14ac:dyDescent="0.2">
      <c r="A650" s="53" t="s">
        <v>1296</v>
      </c>
      <c r="B650" s="85" t="s">
        <v>1297</v>
      </c>
      <c r="C650" s="50" t="s">
        <v>1296</v>
      </c>
      <c r="D650" s="242">
        <v>28476.83</v>
      </c>
      <c r="E650" s="242">
        <v>79982.52</v>
      </c>
      <c r="F650" s="52">
        <f t="shared" si="188"/>
        <v>280.86876242896415</v>
      </c>
    </row>
    <row r="651" spans="1:6" ht="12.75" customHeight="1" x14ac:dyDescent="0.2">
      <c r="A651" s="53" t="s">
        <v>1298</v>
      </c>
      <c r="B651" s="85" t="s">
        <v>1299</v>
      </c>
      <c r="C651" s="50" t="s">
        <v>1298</v>
      </c>
      <c r="D651" s="242">
        <v>23134.74</v>
      </c>
      <c r="E651" s="242">
        <v>74161.929999999993</v>
      </c>
      <c r="F651" s="52">
        <f t="shared" si="188"/>
        <v>320.56521923306673</v>
      </c>
    </row>
    <row r="652" spans="1:6" ht="24" x14ac:dyDescent="0.2">
      <c r="A652" s="53">
        <v>11</v>
      </c>
      <c r="B652" s="85" t="s">
        <v>1300</v>
      </c>
      <c r="C652" s="50" t="s">
        <v>1301</v>
      </c>
      <c r="D652" s="51">
        <f t="shared" ref="D652:E652" si="189">+D649+D650-D651</f>
        <v>9475.66</v>
      </c>
      <c r="E652" s="51">
        <f t="shared" si="189"/>
        <v>51837.290000000008</v>
      </c>
      <c r="F652" s="52">
        <f t="shared" si="188"/>
        <v>547.05730260477901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40</v>
      </c>
      <c r="E654" s="262">
        <v>39</v>
      </c>
      <c r="F654" s="52">
        <f t="shared" si="188"/>
        <v>97.5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34</v>
      </c>
      <c r="E656" s="262">
        <v>31</v>
      </c>
      <c r="F656" s="52">
        <f t="shared" si="188"/>
        <v>91.17647058823529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294898.65999999997</v>
      </c>
      <c r="E675" s="242">
        <v>544029.81999999995</v>
      </c>
      <c r="F675" s="52">
        <f t="shared" si="188"/>
        <v>184.48026179569618</v>
      </c>
    </row>
    <row r="676" spans="1:6" ht="24" x14ac:dyDescent="0.2">
      <c r="A676" s="53">
        <v>63613</v>
      </c>
      <c r="B676" s="232" t="s">
        <v>1349</v>
      </c>
      <c r="C676" s="50" t="s">
        <v>1350</v>
      </c>
      <c r="D676" s="242">
        <v>11461.6</v>
      </c>
      <c r="E676" s="242">
        <v>2437.56</v>
      </c>
      <c r="F676" s="52">
        <f t="shared" si="188"/>
        <v>21.267187827179452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6000</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10347.51</v>
      </c>
      <c r="E710" s="242">
        <v>8405.1299999999992</v>
      </c>
      <c r="F710" s="52">
        <f t="shared" si="188"/>
        <v>81.228527442834064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441.44</v>
      </c>
      <c r="F717" s="52" t="str">
        <f t="shared" si="188"/>
        <v>-</v>
      </c>
    </row>
    <row r="718" spans="1:6" ht="12.75" customHeight="1" x14ac:dyDescent="0.2">
      <c r="A718" s="53">
        <v>32121</v>
      </c>
      <c r="B718" s="85" t="s">
        <v>1415</v>
      </c>
      <c r="C718" s="50" t="s">
        <v>1416</v>
      </c>
      <c r="D718" s="242">
        <v>13012.4</v>
      </c>
      <c r="E718" s="242">
        <v>15708.89</v>
      </c>
      <c r="F718" s="52">
        <f t="shared" si="188"/>
        <v>120.72246472595371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1592.7</v>
      </c>
      <c r="E720" s="242">
        <v>2027.56</v>
      </c>
      <c r="F720" s="52">
        <f t="shared" si="188"/>
        <v>127.3033214039053</v>
      </c>
    </row>
    <row r="721" spans="1:6" ht="12.75" customHeight="1" x14ac:dyDescent="0.2">
      <c r="A721" s="53" t="s">
        <v>1421</v>
      </c>
      <c r="B721" s="85" t="s">
        <v>1422</v>
      </c>
      <c r="C721" s="50" t="s">
        <v>1421</v>
      </c>
      <c r="D721" s="242">
        <v>88.4</v>
      </c>
      <c r="E721" s="242"/>
      <c r="F721" s="52">
        <f t="shared" si="188"/>
        <v>0</v>
      </c>
    </row>
    <row r="722" spans="1:6" ht="12.75" customHeight="1" x14ac:dyDescent="0.2">
      <c r="A722" s="53" t="s">
        <v>1423</v>
      </c>
      <c r="B722" s="85" t="s">
        <v>1424</v>
      </c>
      <c r="C722" s="50" t="s">
        <v>1423</v>
      </c>
      <c r="D722" s="242">
        <v>1958.26</v>
      </c>
      <c r="E722" s="242">
        <v>1345.63</v>
      </c>
      <c r="F722" s="52">
        <f t="shared" si="188"/>
        <v>68.715594456303052</v>
      </c>
    </row>
    <row r="723" spans="1:6" ht="12.75" customHeight="1" x14ac:dyDescent="0.2">
      <c r="A723" s="53" t="s">
        <v>1425</v>
      </c>
      <c r="B723" s="85" t="s">
        <v>1426</v>
      </c>
      <c r="C723" s="50" t="s">
        <v>1425</v>
      </c>
      <c r="D723" s="242">
        <v>156.44999999999999</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E195 A1:D1048576 F1:XFD1048576 E1:E193 E196:E1048576" name="Range1"/>
  </protectedRanges>
  <mergeCells count="8">
    <mergeCell ref="D994:E994"/>
    <mergeCell ref="D995:E995"/>
    <mergeCell ref="A983:B983"/>
    <mergeCell ref="A2:F2"/>
    <mergeCell ref="A5:B5"/>
    <mergeCell ref="A297:B297"/>
    <mergeCell ref="A419:B419"/>
    <mergeCell ref="A648:B648"/>
  </mergeCells>
  <conditionalFormatting sqref="D6:E7 D9:E16 D18:E193 D194 D195: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84743.77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635030.60999999987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487.94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623173.57999999996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480680.87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141920.46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391.03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181.22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11369.09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635148.41999999981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487.94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623291.3899999999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471964.3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149780.16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481.94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1064.99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11369.09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84625.960000000079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84625.96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84625.96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t="e">
        <f>E4+E14+E20+E277+E311+E314+E316</f>
        <v>#REF!</v>
      </c>
      <c r="F3" s="124" t="e">
        <f>F4+F14+F20+F277+F311+F314+F316</f>
        <v>#REF!</v>
      </c>
      <c r="G3" s="124">
        <f>IF(RefStr!C12&lt;&gt;"",INT(VALUE(MID(RefStr!C12,1,4))),0)</f>
        <v>2024</v>
      </c>
      <c r="H3" s="128">
        <f>IF(RefStr!C12&lt;&gt;"",INT(VALUE(MID(RefStr!C12,6,2))),0)</f>
        <v>6</v>
      </c>
      <c r="I3" s="129">
        <f>RefStr!C10*1</f>
        <v>31</v>
      </c>
      <c r="J3" s="130" t="e">
        <f>RefStr!H7</f>
        <v>#REF!</v>
      </c>
      <c r="K3" s="128" t="str">
        <f>RefStr!H9</f>
        <v>NE</v>
      </c>
      <c r="L3" s="128" t="str">
        <f>RefStr!H10</f>
        <v>NE</v>
      </c>
      <c r="M3" s="128" t="str">
        <f>RefStr!H8</f>
        <v>NE</v>
      </c>
      <c r="N3" s="128" t="str">
        <f>RefStr!H11</f>
        <v>DA</v>
      </c>
      <c r="O3" s="131">
        <f>RefStr!C6</f>
        <v>8883</v>
      </c>
      <c r="P3" s="71"/>
    </row>
    <row r="4" spans="1:16" ht="19.5" customHeight="1" x14ac:dyDescent="0.2">
      <c r="A4" s="371" t="s">
        <v>3006</v>
      </c>
      <c r="B4" s="372"/>
      <c r="C4" s="373"/>
      <c r="D4" s="123"/>
      <c r="E4" s="71" t="e">
        <f t="shared" ref="E4:F4" si="0">SUM(E5:E13)</f>
        <v>#REF!</v>
      </c>
      <c r="F4" s="71">
        <f t="shared" si="0"/>
        <v>0</v>
      </c>
      <c r="G4" s="71"/>
      <c r="H4" s="71"/>
      <c r="I4" s="132" t="s">
        <v>3007</v>
      </c>
      <c r="J4" s="132" t="s">
        <v>3008</v>
      </c>
      <c r="K4" s="132" t="s">
        <v>3009</v>
      </c>
      <c r="L4" s="71"/>
      <c r="M4" s="71"/>
      <c r="N4" s="71"/>
      <c r="O4" s="71"/>
      <c r="P4" s="71"/>
    </row>
    <row r="5" spans="1:16" ht="63.75" customHeight="1" x14ac:dyDescent="0.2">
      <c r="A5" s="133">
        <v>1</v>
      </c>
      <c r="B5" s="134" t="e">
        <f t="shared" ref="B5:B13" si="1">IF(E5=1,"Pogreška",IF(F5=1,"Provjera","O.K."))</f>
        <v>#REF!</v>
      </c>
      <c r="C5" s="135" t="s">
        <v>3010</v>
      </c>
      <c r="D5" s="123"/>
      <c r="E5" s="71" t="e">
        <f t="shared" ref="E5:E13" si="2">MAX(G5:K5)</f>
        <v>#REF!</v>
      </c>
      <c r="F5" s="71">
        <v>0</v>
      </c>
      <c r="G5" s="71"/>
      <c r="H5" s="71"/>
      <c r="I5" s="136" t="e">
        <f>IF(AND($I$3=11,OR($H$3=3,$H$3=9),OR($J$3&lt;&gt;"DA",$K$3&lt;&gt;"NE",$L$3&lt;&gt;"NE",$M$3&lt;&gt;"NE",$N$3&lt;&gt;"DA")),1,0)</f>
        <v>#REF!</v>
      </c>
      <c r="J5" s="136" t="e">
        <f>IF(AND($I$3=11,$H$3=6,OR($J$3&lt;&gt;"DA",$K$3&lt;&gt;"NE",$L$3&lt;&gt;"NE",$M$3&lt;&gt;"NE",$N$3&lt;&gt;"DA")),1,0)</f>
        <v>#REF!</v>
      </c>
      <c r="K5" s="124" t="e">
        <f>IF(AND($I$3=11,$H$3=12,OR($J$3&lt;&gt;"DA",$K$3&lt;&gt;"DA",$L$3&lt;&gt;"DA",$M$3&lt;&gt;"DA",$N$3&lt;&gt;"DA")),1,0)</f>
        <v>#REF!</v>
      </c>
      <c r="L5" s="71"/>
      <c r="M5" s="71"/>
      <c r="N5" s="71"/>
      <c r="O5" s="71"/>
      <c r="P5" s="71"/>
    </row>
    <row r="6" spans="1:16" ht="73.5" customHeight="1" x14ac:dyDescent="0.2">
      <c r="A6" s="133">
        <v>2</v>
      </c>
      <c r="B6" s="134" t="e">
        <f t="shared" si="1"/>
        <v>#REF!</v>
      </c>
      <c r="C6" s="135" t="s">
        <v>3011</v>
      </c>
      <c r="D6" s="123"/>
      <c r="E6" s="71" t="e">
        <f t="shared" si="2"/>
        <v>#REF!</v>
      </c>
      <c r="F6" s="71">
        <v>0</v>
      </c>
      <c r="G6" s="71"/>
      <c r="H6" s="71"/>
      <c r="I6" s="136" t="e">
        <f>IF(AND($I$3=12,OR($H$3=3,$H$3=9),OR($J$3&lt;&gt;"NE",$K$3&lt;&gt;"NE",$L$3&lt;&gt;"NE",$M$3&lt;&gt;"NE",$N$3&lt;&gt;"DA")),1,0)</f>
        <v>#REF!</v>
      </c>
      <c r="J6" s="136" t="e">
        <f>IF(AND($I$3=12,$H$3=6,OR($J$3&lt;&gt;"DA",$K$3&lt;&gt;"NE",$L$3&lt;&gt;"NE",$M$3&lt;&gt;"NE",$N$3&lt;&gt;"DA")),1,0)</f>
        <v>#REF!</v>
      </c>
      <c r="K6" s="124" t="e">
        <f>IF(AND($I$3=12,$H$3=12,OR(J3&lt;&gt;"DA",K3&lt;&gt;"DA",L3&lt;&gt;"DA",M3&lt;&gt;"DA",N3&lt;&gt;"DA")),1,0)</f>
        <v>#REF!</v>
      </c>
      <c r="L6" s="71"/>
      <c r="M6" s="71"/>
      <c r="N6" s="71"/>
      <c r="O6" s="71"/>
      <c r="P6" s="71"/>
    </row>
    <row r="7" spans="1:16" ht="65.25" customHeight="1" x14ac:dyDescent="0.2">
      <c r="A7" s="133">
        <v>3</v>
      </c>
      <c r="B7" s="134" t="e">
        <f t="shared" si="1"/>
        <v>#REF!</v>
      </c>
      <c r="C7" s="135" t="s">
        <v>3012</v>
      </c>
      <c r="D7" s="123"/>
      <c r="E7" s="71" t="e">
        <f t="shared" si="2"/>
        <v>#REF!</v>
      </c>
      <c r="F7" s="71">
        <v>0</v>
      </c>
      <c r="G7" s="71"/>
      <c r="H7" s="71"/>
      <c r="I7" s="124" t="e">
        <f>IF(AND($I$3=13,OR($H$3=3,$H$3=9),OR($J$3&lt;&gt;"DA",$K$3&lt;&gt;"NE",$L$3&lt;&gt;"NE",$M$3&lt;&gt;"NE",$N$3&lt;&gt;"NE")),1,0)</f>
        <v>#REF!</v>
      </c>
      <c r="J7" s="124" t="e">
        <f>IF(AND($I$3=13,$H$3=6,OR($J$3&lt;&gt;"DA",$K$3&lt;&gt;"NE",$L$3&lt;&gt;"NE",$M$3&lt;&gt;"NE",$N$3&lt;&gt;"NE")),1,0)</f>
        <v>#REF!</v>
      </c>
      <c r="K7" s="124" t="e">
        <f>IF(AND($I$3=13,$H$3=12,OR($J$3&lt;&gt;"DA",$K$3&lt;&gt;"DA",$L$3&lt;&gt;"DA",$M$3&lt;&gt;"DA",$N$3&lt;&gt;"NE")),1,0)</f>
        <v>#REF!</v>
      </c>
      <c r="L7" s="71"/>
      <c r="M7" s="71"/>
      <c r="N7" s="71"/>
      <c r="O7" s="71"/>
      <c r="P7" s="71"/>
    </row>
    <row r="8" spans="1:16" ht="74.25" customHeight="1" x14ac:dyDescent="0.2">
      <c r="A8" s="133">
        <v>4</v>
      </c>
      <c r="B8" s="134" t="e">
        <f t="shared" si="1"/>
        <v>#REF!</v>
      </c>
      <c r="C8" s="135" t="s">
        <v>3013</v>
      </c>
      <c r="D8" s="123"/>
      <c r="E8" s="71" t="e">
        <f t="shared" si="2"/>
        <v>#REF!</v>
      </c>
      <c r="F8" s="71">
        <v>0</v>
      </c>
      <c r="G8" s="71"/>
      <c r="H8" s="71"/>
      <c r="I8" s="124" t="e">
        <f>IF(AND($I$3=21,OR($H$3=3,$H$3=9),OR($J$3&lt;&gt;"DA",$K$3&lt;&gt;"NE",$L$3&lt;&gt;"NE",$M$3&lt;&gt;"NE",$N$3&lt;&gt;"NE")),1,0)</f>
        <v>#REF!</v>
      </c>
      <c r="J8" s="124" t="e">
        <f>IF(AND($I$3=21,$H$3=6,OR($J$3&lt;&gt;"DA",$K$3&lt;&gt;"NE",$L$3&lt;&gt;"NE",$M$3&lt;&gt;"NE",$N$3&lt;&gt;"DA")),1,0)</f>
        <v>#REF!</v>
      </c>
      <c r="K8" s="124" t="e">
        <f>IF(AND($I$3=21,$H$3=12,OR($J$3&lt;&gt;"DA",$K$3&lt;&gt;"DA",$L$3&lt;&gt;"DA",$M$3&lt;&gt;"DA",$N$3&lt;&gt;"DA")),1,0)</f>
        <v>#REF!</v>
      </c>
      <c r="L8" s="71"/>
      <c r="M8" s="71"/>
      <c r="N8" s="71"/>
      <c r="O8" s="71"/>
      <c r="P8" s="71"/>
    </row>
    <row r="9" spans="1:16" ht="62.25" customHeight="1" x14ac:dyDescent="0.2">
      <c r="A9" s="133">
        <v>5</v>
      </c>
      <c r="B9" s="134" t="e">
        <f t="shared" si="1"/>
        <v>#REF!</v>
      </c>
      <c r="C9" s="135" t="s">
        <v>3014</v>
      </c>
      <c r="D9" s="123"/>
      <c r="E9" s="71" t="e">
        <f t="shared" si="2"/>
        <v>#REF!</v>
      </c>
      <c r="F9" s="71">
        <v>0</v>
      </c>
      <c r="G9" s="71"/>
      <c r="H9" s="71"/>
      <c r="I9" s="124" t="e">
        <f>IF(AND($I$3=22,OR($H$3=3,$H$3=9),OR($J$3&lt;&gt;"DA",$K$3&lt;&gt;"NE",$L$3&lt;&gt;"NE",$M$3&lt;&gt;"NE",$N$3&lt;&gt;"DA")),1,0)</f>
        <v>#REF!</v>
      </c>
      <c r="J9" s="124" t="e">
        <f>IF(AND($I$3=22,$H$3=6,OR($J$3&lt;&gt;"DA",$K$3&lt;&gt;"NE",$L$3&lt;&gt;"NE",$M$3&lt;&gt;"NE",$N$3&lt;&gt;"DA")),1,0)</f>
        <v>#REF!</v>
      </c>
      <c r="K9" s="124" t="e">
        <f>IF(AND($I$3=22,$H$3=12,OR($J$3&lt;&gt;"DA",$K$3&lt;&gt;"DA",$L$3&lt;&gt;"DA",$M$3&lt;&gt;"DA",$N$3&lt;&gt;"DA")),1,0)</f>
        <v>#REF!</v>
      </c>
      <c r="L9" s="71"/>
      <c r="M9" s="71"/>
      <c r="N9" s="71"/>
      <c r="O9" s="71"/>
      <c r="P9" s="71"/>
    </row>
    <row r="10" spans="1:16" ht="75.75" customHeight="1" x14ac:dyDescent="0.2">
      <c r="A10" s="133">
        <v>6</v>
      </c>
      <c r="B10" s="134" t="e">
        <f t="shared" si="1"/>
        <v>#REF!</v>
      </c>
      <c r="C10" s="135" t="s">
        <v>3015</v>
      </c>
      <c r="D10" s="123"/>
      <c r="E10" s="71" t="e">
        <f t="shared" si="2"/>
        <v>#REF!</v>
      </c>
      <c r="F10" s="71">
        <v>0</v>
      </c>
      <c r="G10" s="71"/>
      <c r="H10" s="71"/>
      <c r="I10" s="124">
        <f>IF(AND($I$3=23,OR($H$3=3,$H$3=9)),1,0)</f>
        <v>0</v>
      </c>
      <c r="J10" s="124" t="e">
        <f>IF(AND($I$3=23,$H$3=6,OR($J$3&lt;&gt;"DA",$K$3&lt;&gt;"NE",$L$3&lt;&gt;"NE",$M$3&lt;&gt;"NE",$N$3&lt;&gt;"DA")),1,0)</f>
        <v>#REF!</v>
      </c>
      <c r="K10" s="124" t="e">
        <f>IF(AND($I$3=23,$H$3=12,OR($J$3&lt;&gt;"DA",$K$3&lt;&gt;"DA",$L$3&lt;&gt;"DA",$M$3&lt;&gt;"DA",$N$3&lt;&gt;"DA")),1,0)</f>
        <v>#REF!</v>
      </c>
      <c r="L10" s="71"/>
      <c r="M10" s="71"/>
      <c r="N10" s="71"/>
      <c r="O10" s="71"/>
      <c r="P10" s="71"/>
    </row>
    <row r="11" spans="1:16" ht="71.25" customHeight="1" x14ac:dyDescent="0.2">
      <c r="A11" s="133">
        <v>7</v>
      </c>
      <c r="B11" s="134" t="e">
        <f t="shared" si="1"/>
        <v>#REF!</v>
      </c>
      <c r="C11" s="135" t="s">
        <v>3016</v>
      </c>
      <c r="D11" s="123"/>
      <c r="E11" s="71" t="e">
        <f t="shared" si="2"/>
        <v>#REF!</v>
      </c>
      <c r="F11" s="71">
        <v>0</v>
      </c>
      <c r="G11" s="71"/>
      <c r="H11" s="71"/>
      <c r="I11" s="124" t="e">
        <f>IF(AND($I$3=31,OR($H$3=3,$H$3=9),OR($J$3&lt;&gt;"DA",$K$3&lt;&gt;"NE",$L$3&lt;&gt;"NE",$M$3&lt;&gt;"NE",$N$3&lt;&gt;"NE")),1,0)</f>
        <v>#REF!</v>
      </c>
      <c r="J11" s="124" t="e">
        <f>IF(AND($I$3=31,$H$3=6,OR($J$3&lt;&gt;"DA",$K$3&lt;&gt;"NE",$L$3&lt;&gt;"NE",$M$3&lt;&gt;"NE",$N$3&lt;&gt;"DA")),1,0)</f>
        <v>#REF!</v>
      </c>
      <c r="K11" s="124" t="e">
        <f>IF(AND($I$3=31,$H$3=12,OR($J$3&lt;&gt;"DA",$K$3&lt;&gt;"DA",$L$3&lt;&gt;"DA",$M$3&lt;&gt;"DA",$N$3&lt;&gt;"DA")),1,0)</f>
        <v>#REF!</v>
      </c>
      <c r="L11" s="71"/>
      <c r="M11" s="137"/>
      <c r="N11" s="71"/>
      <c r="O11" s="71"/>
      <c r="P11" s="71"/>
    </row>
    <row r="12" spans="1:16" ht="66" customHeight="1" x14ac:dyDescent="0.2">
      <c r="A12" s="133">
        <v>8</v>
      </c>
      <c r="B12" s="134" t="e">
        <f t="shared" si="1"/>
        <v>#REF!</v>
      </c>
      <c r="C12" s="135" t="s">
        <v>3017</v>
      </c>
      <c r="D12" s="123"/>
      <c r="E12" s="71" t="e">
        <f t="shared" si="2"/>
        <v>#REF!</v>
      </c>
      <c r="F12" s="71">
        <v>0</v>
      </c>
      <c r="G12" s="71"/>
      <c r="H12" s="71"/>
      <c r="I12" s="124" t="e">
        <f>IF(AND($I$3=41,OR($H$3=3,$H$3=9),OR($J$3&lt;&gt;"DA",$K$3&lt;&gt;"NE",$L$3&lt;&gt;"NE",$M$3&lt;&gt;"NE",$N$3&lt;&gt;"DA")),1,0)</f>
        <v>#REF!</v>
      </c>
      <c r="J12" s="124" t="e">
        <f>IF(AND($I$3=41,$H$3=6,OR($J$3&lt;&gt;"DA",$K$3&lt;&gt;"NE",$L$3&lt;&gt;"NE",$M$3&lt;&gt;"NE",$N$3&lt;&gt;"DA")),1,0)</f>
        <v>#REF!</v>
      </c>
      <c r="K12" s="124" t="e">
        <f>IF(AND($I$3=41,$H$3=12,OR($J$3&lt;&gt;"DA",$K$3&lt;&gt;"DA",$L$3&lt;&gt;"DA",$M$3&lt;&gt;"DA",$N$3&lt;&gt;"DA")),1,0)</f>
        <v>#REF!</v>
      </c>
      <c r="L12" s="71"/>
      <c r="M12" s="71"/>
      <c r="N12" s="71"/>
      <c r="O12" s="71"/>
      <c r="P12" s="71"/>
    </row>
    <row r="13" spans="1:16" ht="75" customHeight="1" x14ac:dyDescent="0.2">
      <c r="A13" s="133">
        <v>9</v>
      </c>
      <c r="B13" s="134" t="e">
        <f t="shared" si="1"/>
        <v>#REF!</v>
      </c>
      <c r="C13" s="135" t="s">
        <v>3018</v>
      </c>
      <c r="D13" s="123"/>
      <c r="E13" s="71" t="e">
        <f t="shared" si="2"/>
        <v>#REF!</v>
      </c>
      <c r="F13" s="71">
        <v>0</v>
      </c>
      <c r="G13" s="71"/>
      <c r="H13" s="71"/>
      <c r="I13" s="124" t="e">
        <f>IF(AND($I$3=42,OR($H$3=3,$H$3=9),OR($J$3&lt;&gt;"DA",$K$3&lt;&gt;"NE",$L$3&lt;&gt;"NE",$M$3&lt;&gt;"NE",$N$3&lt;&gt;"NE")),1,0)</f>
        <v>#REF!</v>
      </c>
      <c r="J13" s="124" t="e">
        <f>IF(AND($I$3=42,$H$3=6,OR($J$3&lt;&gt;"DA",$K$3&lt;&gt;"NE",$L$3&lt;&gt;"NE",$M$3&lt;&gt;"NE",$N$3&lt;&gt;"DA")),1,0)</f>
        <v>#REF!</v>
      </c>
      <c r="K13" s="124" t="e">
        <f>IF(AND($I$3=42,$H$3=12,OR($J$3&lt;&gt;"DA",$K$3&lt;&gt;"DA",$L$3&lt;&gt;"DA",$M$3&lt;&gt;"DA",$N$3&lt;&gt;"DA")),1,0)</f>
        <v>#REF!</v>
      </c>
      <c r="L13" s="71"/>
      <c r="M13" s="71"/>
      <c r="N13" s="71"/>
      <c r="O13" s="71"/>
      <c r="P13" s="71"/>
    </row>
    <row r="14" spans="1:16" ht="19.5" customHeight="1" x14ac:dyDescent="0.2">
      <c r="A14" s="374" t="s">
        <v>3019</v>
      </c>
      <c r="B14" s="368"/>
      <c r="C14" s="369"/>
      <c r="D14" s="123"/>
      <c r="E14" s="71" t="e">
        <f>SUM(E15:E19)</f>
        <v>#REF!</v>
      </c>
      <c r="F14" s="71" t="e">
        <f>SUM(F15:F19)</f>
        <v>#REF!</v>
      </c>
      <c r="G14" s="71"/>
      <c r="H14" s="71"/>
      <c r="I14" s="71"/>
      <c r="J14" s="71"/>
      <c r="K14" s="71"/>
      <c r="L14" s="71"/>
      <c r="M14" s="71"/>
      <c r="N14" s="71"/>
      <c r="O14" s="71"/>
      <c r="P14" s="71"/>
    </row>
    <row r="15" spans="1:16" ht="57" customHeight="1" x14ac:dyDescent="0.2">
      <c r="A15" s="133">
        <v>1</v>
      </c>
      <c r="B15" s="134" t="e">
        <f t="shared" ref="B15:B18" si="3">IF(E15=1,"Pogreška",IF(F15=1,"Provjera","O.K."))</f>
        <v>#REF!</v>
      </c>
      <c r="C15" s="116" t="s">
        <v>3020</v>
      </c>
      <c r="D15" s="123"/>
      <c r="E15" s="71" t="e">
        <f t="shared" ref="E15:E16" si="4">MAX(G15:K15)</f>
        <v>#REF!</v>
      </c>
      <c r="F15" s="71" t="e">
        <f>MAX(L15:O15)</f>
        <v>#REF!</v>
      </c>
      <c r="G15" s="124" t="e">
        <f>IF(AND(H3=12,J3="DA",M3="DA",OR(I3=11,I3=21,I3=22,I3=31,I3=41,I3=42),ABS(BILANCA!D170-'PR-RAS'!D647)&gt;0.001),1,0)</f>
        <v>#REF!</v>
      </c>
      <c r="H15" s="124" t="e">
        <f>IF(AND(H3=12,J3="DA",M3="DA",OR(I3=11,I3=21,I3=22,I3=31,I3=41,I3=42),ABS(BILANCA!E170-'PR-RAS'!E647)&gt;0.001),1,0)</f>
        <v>#REF!</v>
      </c>
      <c r="I15" s="71"/>
      <c r="J15" s="71"/>
      <c r="K15" s="71"/>
      <c r="L15" s="124" t="e">
        <f>IF(AND(H3=12,J3="DA",M3="DA",OR(I3=12,I3=13,I3=23),ABS(BILANCA!D170-'PR-RAS'!D647)&gt;0.001),1,0)</f>
        <v>#REF!</v>
      </c>
      <c r="M15" s="124" t="e">
        <f>IF(AND(H3=12,J3="DA",M3="DA",OR(I3=12,I3=13,I3=23),ABS(BILANCA!E170-'PR-RAS'!E647)&gt;0.001),1,0)</f>
        <v>#REF!</v>
      </c>
      <c r="N15" s="71"/>
      <c r="O15" s="71"/>
      <c r="P15" s="71"/>
    </row>
    <row r="16" spans="1:16" ht="42" customHeight="1" x14ac:dyDescent="0.2">
      <c r="A16" s="133">
        <v>2</v>
      </c>
      <c r="B16" s="134" t="e">
        <f t="shared" si="3"/>
        <v>#REF!</v>
      </c>
      <c r="C16" s="116" t="s">
        <v>3021</v>
      </c>
      <c r="D16" s="123"/>
      <c r="E16" s="71" t="e">
        <f t="shared" si="4"/>
        <v>#REF!</v>
      </c>
      <c r="F16" s="71" t="e">
        <f>MAX(L16:O16)</f>
        <v>#REF!</v>
      </c>
      <c r="G16" s="124" t="e">
        <f>IF(AND(H3=12,J3="DA",M3="DA",OR(I3=11,I3=21,I3=22,I3=31,I3=41,I3=42),ABS(BILANCA!D69-'PR-RAS'!D652)&gt;0.001),1,0)</f>
        <v>#REF!</v>
      </c>
      <c r="H16" s="124" t="e">
        <f>IF(AND(H3=12,J3="DA",M3="DA",OR(I3=11,I3=21,I3=22,I3=31,I3=41,I3=42),ABS(BILANCA!E69-'PR-RAS'!E652)&gt;0.001),1,0)</f>
        <v>#REF!</v>
      </c>
      <c r="I16" s="138"/>
      <c r="J16" s="71"/>
      <c r="K16" s="71"/>
      <c r="L16" s="124" t="e">
        <f>IF(AND(H3=12,J3="DA",M3="DA",OR(I3=12,I3=13,I3=23),ABS(BILANCA!D69-'PR-RAS'!D652)&gt;0.001),1,0)</f>
        <v>#REF!</v>
      </c>
      <c r="M16" s="124" t="e">
        <f>IF(AND(H3=12,J3="DA",M3="DA",OR(I3=12,I3=13,I3=23),ABS(BILANCA!E69-'PR-RAS'!E652)&gt;0.001),1,0)</f>
        <v>#REF!</v>
      </c>
      <c r="N16" s="71"/>
      <c r="O16" s="71"/>
      <c r="P16" s="71"/>
    </row>
    <row r="17" spans="1:16" ht="48.75" customHeight="1" x14ac:dyDescent="0.2">
      <c r="A17" s="133">
        <v>3</v>
      </c>
      <c r="B17" s="134" t="e">
        <f t="shared" si="3"/>
        <v>#REF!</v>
      </c>
      <c r="C17" s="116" t="s">
        <v>3022</v>
      </c>
      <c r="D17" s="123"/>
      <c r="E17" s="71" t="e">
        <f t="shared" ref="E17:E18" si="5">MAX(G17:L17)</f>
        <v>#REF!</v>
      </c>
      <c r="F17" s="71">
        <v>0</v>
      </c>
      <c r="G17" s="139" t="e">
        <f>IF(AND(H3=12,J3="DA",M3="DA",BILANCA!D246-BILANCA!D250&gt;0.001,OR(ABS(BILANCA!D246-BILANCA!D250-'PR-RAS'!D645)&gt;0.001,ABS('PR-RAS'!D646)&gt;0.001)),1,0)</f>
        <v>#REF!</v>
      </c>
      <c r="H17" s="124" t="e">
        <f>IF(AND(H3=12,J3="DA",M3="DA",BILANCA!E246-BILANCA!E250&gt;0.001,OR(ABS(BILANCA!E246-BILANCA!E250-'PR-RAS'!E645)&gt;0.001,ABS('PR-RAS'!E646)&gt;0.001)),1,0)</f>
        <v>#REF!</v>
      </c>
      <c r="I17" s="140" t="e">
        <f>IF(AND(H3=12,J3="DA",M3="DA",BILANCA!D250-BILANCA!D246&gt;0.001,OR(ABS(BILANCA!D250-BILANCA!D246-'PR-RAS'!D646)&gt;0.001,ABS('PR-RAS'!D645)&gt;0.001)),1,0)</f>
        <v>#REF!</v>
      </c>
      <c r="J17" s="140" t="e">
        <f>IF(AND(H3=12,J3="DA",M3="DA",BILANCA!E250-BILANCA!E246&gt;0.001,OR(ABS(BILANCA!E250-BILANCA!E246-'PR-RAS'!E646)&gt;0.001,ABS('PR-RAS'!E645)&gt;0.001)),1,0)</f>
        <v>#REF!</v>
      </c>
      <c r="K17" s="71"/>
      <c r="L17" s="71"/>
      <c r="M17" s="71"/>
      <c r="N17" s="71"/>
      <c r="O17" s="71"/>
      <c r="P17" s="71"/>
    </row>
    <row r="18" spans="1:16" ht="43.5" customHeight="1" x14ac:dyDescent="0.2">
      <c r="A18" s="133">
        <v>4</v>
      </c>
      <c r="B18" s="134" t="e">
        <f t="shared" si="3"/>
        <v>#REF!</v>
      </c>
      <c r="C18" s="116" t="s">
        <v>3023</v>
      </c>
      <c r="D18" s="123"/>
      <c r="E18" s="71" t="e">
        <f t="shared" si="5"/>
        <v>#REF!</v>
      </c>
      <c r="F18" s="71">
        <v>0</v>
      </c>
      <c r="G18" s="139" t="e">
        <f>IF(AND(J3="DA",K3="DA",ABS('PR-RAS'!D413-'PR-RAS'!D240-'RAS-funkcijski'!D141)&gt;0.001),1,0)</f>
        <v>#REF!</v>
      </c>
      <c r="H18" s="308" t="e">
        <f>IF(AND(J3="DA",K3="DA",ABS('PR-RAS'!E413-'PR-RAS'!E240-'RAS-funkcijski'!E141)&gt;0.001),1,0)</f>
        <v>#REF!</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t="e">
        <f>SUM(E21:E276)</f>
        <v>#REF!</v>
      </c>
      <c r="F20" s="71" t="e">
        <f>SUM(F21:F276)</f>
        <v>#REF!</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e">
        <f t="shared" si="18"/>
        <v>#REF!</v>
      </c>
      <c r="C272" s="119" t="s">
        <v>3277</v>
      </c>
      <c r="D272" s="123"/>
      <c r="E272" s="71">
        <f t="shared" si="19"/>
        <v>0</v>
      </c>
      <c r="F272" s="71" t="e">
        <f t="shared" si="20"/>
        <v>#REF!</v>
      </c>
      <c r="G272" s="71"/>
      <c r="H272" s="71"/>
      <c r="I272" s="71"/>
      <c r="J272" s="71"/>
      <c r="K272" s="71"/>
      <c r="L272" s="71" t="e">
        <f>IF(AND(J3="DA",MAX('PR-RAS'!D6:D651)=0,MIN('PR-RAS'!D6:D651)=0),1,0)</f>
        <v>#REF!</v>
      </c>
      <c r="M272" s="71" t="e">
        <f>IF(AND(J3="DA",MAX('PR-RAS'!E6:E651)=0,MIN('PR-RAS'!E6:E651)=0),1,0)</f>
        <v>#REF!</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e">
        <f>IF(E274=1,"Pogreška",IF(F274=1,"Provjera","O.K."))</f>
        <v>#REF!</v>
      </c>
      <c r="C274" s="307" t="s">
        <v>3279</v>
      </c>
      <c r="D274" s="123"/>
      <c r="E274" s="71" t="e">
        <f t="shared" si="19"/>
        <v>#REF!</v>
      </c>
      <c r="F274" s="71">
        <f>MAX(L274:O274)</f>
        <v>0</v>
      </c>
      <c r="G274" s="71" t="e">
        <f>IF(AND(J3="DA",OR(ISBLANK('PR-RAS'!D292),ISBLANK('PR-RAS'!D409),ISBLANK('PR-RAS'!D637),ISBLANK('PR-RAS'!D293),ISBLANK('PR-RAS'!D410),ISBLANK('PR-RAS'!D638))),1,0)</f>
        <v>#REF!</v>
      </c>
      <c r="H274" s="71" t="e">
        <f>IF(AND(J3="DA",OR(ISBLANK('PR-RAS'!E292),ISBLANK('PR-RAS'!E409),ISBLANK('PR-RAS'!E637),ISBLANK('PR-RAS'!E293),ISBLANK('PR-RAS'!E410),ISBLANK('PR-RAS'!E638))),1,0)</f>
        <v>#REF!</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2024-07-05T11:37:40Z</cp:lastPrinted>
  <dcterms:created xsi:type="dcterms:W3CDTF">2022-04-01T05:14:30Z</dcterms:created>
  <dcterms:modified xsi:type="dcterms:W3CDTF">2024-07-05T11:53:00Z</dcterms:modified>
</cp:coreProperties>
</file>